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Shared\Budget\FY19-20 Budget\Development\Payroll\"/>
    </mc:Choice>
  </mc:AlternateContent>
  <bookViews>
    <workbookView xWindow="0" yWindow="0" windowWidth="25200" windowHeight="11745"/>
  </bookViews>
  <sheets>
    <sheet name="Cost Comparison" sheetId="1" r:id="rId1"/>
    <sheet name="FY19-20 Benefit Rates" sheetId="2" r:id="rId2"/>
  </sheets>
  <definedNames>
    <definedName name="_xlnm.Print_Titles" localSheetId="0">'Cost Comparison'!$1:$3</definedName>
  </definedNames>
  <calcPr calcId="152511"/>
</workbook>
</file>

<file path=xl/calcChain.xml><?xml version="1.0" encoding="utf-8"?>
<calcChain xmlns="http://schemas.openxmlformats.org/spreadsheetml/2006/main">
  <c r="B22" i="2" l="1"/>
  <c r="B27" i="2" l="1"/>
  <c r="B26" i="2"/>
  <c r="B21" i="2"/>
  <c r="B28" i="2" s="1"/>
  <c r="J13" i="1" l="1"/>
  <c r="F26" i="1" l="1"/>
  <c r="F28" i="1" l="1"/>
  <c r="F27" i="1"/>
  <c r="C28" i="1"/>
  <c r="C27" i="1"/>
  <c r="C26" i="1"/>
  <c r="C15" i="1"/>
  <c r="J28" i="1" l="1"/>
  <c r="J27" i="1"/>
  <c r="J26" i="1"/>
  <c r="F30" i="1"/>
  <c r="F29" i="1"/>
  <c r="F15" i="1"/>
  <c r="F16" i="1" s="1"/>
  <c r="F18" i="1" l="1"/>
  <c r="J15" i="1"/>
  <c r="J16" i="1" s="1"/>
  <c r="C30" i="1"/>
  <c r="J30" i="1" s="1"/>
  <c r="C29" i="1"/>
  <c r="J29" i="1" s="1"/>
  <c r="F24" i="1" l="1"/>
  <c r="F23" i="1"/>
  <c r="F25" i="1"/>
  <c r="F20" i="1"/>
  <c r="F21" i="1"/>
  <c r="F22" i="1"/>
  <c r="C16" i="1"/>
  <c r="C18" i="1" s="1"/>
  <c r="J18" i="1" l="1"/>
  <c r="C23" i="1"/>
  <c r="J23" i="1" s="1"/>
  <c r="F31" i="1"/>
  <c r="F33" i="1" s="1"/>
  <c r="F35" i="1" s="1"/>
  <c r="F40" i="1" s="1"/>
  <c r="C25" i="1"/>
  <c r="J25" i="1" s="1"/>
  <c r="C20" i="1"/>
  <c r="C24" i="1"/>
  <c r="J24" i="1" s="1"/>
  <c r="C22" i="1"/>
  <c r="J22" i="1" s="1"/>
  <c r="C21" i="1"/>
  <c r="J21" i="1" s="1"/>
  <c r="F41" i="1" l="1"/>
  <c r="F39" i="1"/>
  <c r="F38" i="1"/>
  <c r="F37" i="1"/>
  <c r="J20" i="1"/>
  <c r="J31" i="1" s="1"/>
  <c r="J33" i="1" s="1"/>
  <c r="C31" i="1"/>
  <c r="C33" i="1" s="1"/>
  <c r="C35" i="1" s="1"/>
  <c r="C40" i="1" s="1"/>
  <c r="C41" i="1" s="1"/>
  <c r="J40" i="1" l="1"/>
  <c r="C39" i="1"/>
  <c r="C38" i="1"/>
  <c r="J38" i="1" s="1"/>
  <c r="J35" i="1"/>
  <c r="C37" i="1"/>
  <c r="J37" i="1" s="1"/>
  <c r="J39" i="1" l="1"/>
  <c r="J41" i="1"/>
</calcChain>
</file>

<file path=xl/sharedStrings.xml><?xml version="1.0" encoding="utf-8"?>
<sst xmlns="http://schemas.openxmlformats.org/spreadsheetml/2006/main" count="186" uniqueCount="82">
  <si>
    <t>Hourly Pay Rate</t>
  </si>
  <si>
    <t>Flex</t>
  </si>
  <si>
    <t>Unemployment</t>
  </si>
  <si>
    <t>Social Security</t>
  </si>
  <si>
    <t>Medicare</t>
  </si>
  <si>
    <t>Average hours per Pay Period</t>
  </si>
  <si>
    <t>Worked Annual Hours</t>
  </si>
  <si>
    <t>Total cost per pay period</t>
  </si>
  <si>
    <t>Employer PERS</t>
  </si>
  <si>
    <t>LT Disability</t>
  </si>
  <si>
    <t>ST Disability</t>
  </si>
  <si>
    <t>COLA</t>
  </si>
  <si>
    <t>Life</t>
  </si>
  <si>
    <t>Optical</t>
  </si>
  <si>
    <t>Pension &amp; Training</t>
  </si>
  <si>
    <t>401A</t>
  </si>
  <si>
    <t>Type</t>
  </si>
  <si>
    <t>% hours worked</t>
  </si>
  <si>
    <t>COST</t>
  </si>
  <si>
    <t>General</t>
  </si>
  <si>
    <t>Seasonal</t>
  </si>
  <si>
    <t>Management</t>
  </si>
  <si>
    <t>Unrep</t>
  </si>
  <si>
    <t>DIFFERENCE</t>
  </si>
  <si>
    <t>[JOB TITLE #1]</t>
  </si>
  <si>
    <t>[JOB TITLE #2]</t>
  </si>
  <si>
    <t>REGIONAL PARKS &amp; OPEN SPACE DISTRICT</t>
  </si>
  <si>
    <t>Personnel Cost Estimation Worksheet</t>
  </si>
  <si>
    <t>~ See Job Descriptions at www.rc-hr.com for Hourly Pay Rate ranges ~</t>
  </si>
  <si>
    <t>Supervisor</t>
  </si>
  <si>
    <t>PKSeas</t>
  </si>
  <si>
    <t>PKSupv</t>
  </si>
  <si>
    <t>PKGen</t>
  </si>
  <si>
    <t>PKMgr</t>
  </si>
  <si>
    <t>UNRep</t>
  </si>
  <si>
    <t>CalPERS Tier</t>
  </si>
  <si>
    <t>Tier1(hired before Aug2012)</t>
  </si>
  <si>
    <t>Pay Period Salary</t>
  </si>
  <si>
    <t>Total Benefits</t>
  </si>
  <si>
    <t>Tier2(hired Aug-Dec2012)</t>
  </si>
  <si>
    <t>Tier3(hired since Jan2013)</t>
  </si>
  <si>
    <t>COST PER PAY PERIOD</t>
  </si>
  <si>
    <t>CHANGE IN COST PER PAY PERIOD</t>
  </si>
  <si>
    <t>Total Annual Cost</t>
  </si>
  <si>
    <r>
      <rPr>
        <u/>
        <sz val="14"/>
        <color rgb="FFC00000"/>
        <rFont val="Calibri"/>
        <family val="2"/>
        <scheme val="minor"/>
      </rPr>
      <t>INSTRUCTIONS</t>
    </r>
    <r>
      <rPr>
        <sz val="14"/>
        <color rgb="FFC00000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 xml:space="preserve">
Enter position-specific data in the GREEN CELLS; calculations are automatic</t>
    </r>
  </si>
  <si>
    <t>Productive Hourly Rate</t>
  </si>
  <si>
    <t>Billable Hourly Rate</t>
  </si>
  <si>
    <t>Productive Hourly Rate+OH</t>
  </si>
  <si>
    <t>Change in Productive Hourly Rate</t>
  </si>
  <si>
    <t>Change in Productive Hourly Rate+OH</t>
  </si>
  <si>
    <t>Change in Billable Hourly Rate</t>
  </si>
  <si>
    <t>Change in Total Benefits</t>
  </si>
  <si>
    <t>Change in Total Cost per pay period</t>
  </si>
  <si>
    <t>Change in Hourly Pay Rate</t>
  </si>
  <si>
    <t>Change in Worked Annual Hours</t>
  </si>
  <si>
    <t>Change in Average hours per Pay Period</t>
  </si>
  <si>
    <t>Change in Pay Period Salary</t>
  </si>
  <si>
    <t>Change in Annual Cost</t>
  </si>
  <si>
    <t>Burdened Hourly Rate</t>
  </si>
  <si>
    <t>Change in Burdened Hourly Rate</t>
  </si>
  <si>
    <t>Cellphone</t>
  </si>
  <si>
    <t>Uniform Allowance</t>
  </si>
  <si>
    <t>Payroll Services</t>
  </si>
  <si>
    <t>PSEC Radio</t>
  </si>
  <si>
    <t>HR Services</t>
  </si>
  <si>
    <t>Training &amp; Safety</t>
  </si>
  <si>
    <t>P-card annual fee</t>
  </si>
  <si>
    <t>Productive+OH+Misc Costs</t>
  </si>
  <si>
    <t>Change in Productive+OH+Misc Costs</t>
  </si>
  <si>
    <t>Misc. Annual Direct Employee Costs:</t>
  </si>
  <si>
    <t>WHAT'S INCLUDED IN THE RATE?</t>
  </si>
  <si>
    <t>X</t>
  </si>
  <si>
    <t>Benefits</t>
  </si>
  <si>
    <t>Worked Hours</t>
  </si>
  <si>
    <t>Holiday Hours</t>
  </si>
  <si>
    <t>Vacation Hours</t>
  </si>
  <si>
    <t>Sick Hours</t>
  </si>
  <si>
    <t>Administrative Overhead</t>
  </si>
  <si>
    <t>RATE TYPE</t>
  </si>
  <si>
    <t>Salary (Hourly pay class/step)</t>
  </si>
  <si>
    <t>IMPORTANT: This worksheet is to be used as a guide for estimating annual personnel costs for FY19-20 ONLY.
All rates are subject to change, actual costs may vary.</t>
  </si>
  <si>
    <t>FY 2019-20 BUDGET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</si>
</sst>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 Unicode MS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theme="6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2"/>
      <color theme="6" tint="-0.499984740745262"/>
      <name val="Calibri"/>
      <family val="2"/>
      <scheme val="minor"/>
    </font>
    <font>
      <b/>
      <i/>
      <sz val="12"/>
      <color theme="6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C00000"/>
      <name val="Calibri"/>
      <family val="2"/>
      <scheme val="minor"/>
    </font>
    <font>
      <i/>
      <sz val="12"/>
      <color rgb="FFC00000"/>
      <name val="Calibri"/>
      <family val="2"/>
      <scheme val="minor"/>
    </font>
    <font>
      <u/>
      <sz val="14"/>
      <color rgb="FFC0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sz val="18"/>
      <color theme="6" tint="-0.249977111117893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indexed="64"/>
      </top>
      <bottom style="thin">
        <color indexed="64"/>
      </bottom>
      <diagonal/>
    </border>
    <border>
      <left style="dotted">
        <color theme="0" tint="-0.24994659260841701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theme="0" tint="-0.24994659260841701"/>
      </right>
      <top style="medium">
        <color indexed="64"/>
      </top>
      <bottom style="thin">
        <color indexed="64"/>
      </bottom>
      <diagonal/>
    </border>
    <border>
      <left style="dotted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dotted">
        <color theme="0" tint="-0.24994659260841701"/>
      </right>
      <top style="thin">
        <color indexed="64"/>
      </top>
      <bottom style="thin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theme="0" tint="-0.24994659260841701"/>
      </left>
      <right/>
      <top style="thin">
        <color indexed="64"/>
      </top>
      <bottom/>
      <diagonal/>
    </border>
    <border>
      <left style="dotted">
        <color theme="0" tint="-0.24994659260841701"/>
      </left>
      <right/>
      <top/>
      <bottom/>
      <diagonal/>
    </border>
    <border>
      <left style="dotted">
        <color theme="0" tint="-0.24994659260841701"/>
      </left>
      <right/>
      <top/>
      <bottom style="medium">
        <color indexed="64"/>
      </bottom>
      <diagonal/>
    </border>
  </borders>
  <cellStyleXfs count="5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</cellStyleXfs>
  <cellXfs count="181">
    <xf numFmtId="0" fontId="0" fillId="0" borderId="0" xfId="0"/>
    <xf numFmtId="0" fontId="0" fillId="0" borderId="0" xfId="0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16" xfId="0" applyBorder="1" applyAlignment="1">
      <alignment horizontal="center"/>
    </xf>
    <xf numFmtId="44" fontId="0" fillId="0" borderId="16" xfId="1" applyFont="1" applyBorder="1" applyAlignment="1">
      <alignment horizontal="center"/>
    </xf>
    <xf numFmtId="0" fontId="0" fillId="0" borderId="18" xfId="0" applyBorder="1"/>
    <xf numFmtId="0" fontId="16" fillId="0" borderId="0" xfId="0" applyFont="1"/>
    <xf numFmtId="0" fontId="16" fillId="0" borderId="0" xfId="0" applyFont="1" applyAlignment="1">
      <alignment horizontal="center"/>
    </xf>
    <xf numFmtId="0" fontId="28" fillId="0" borderId="0" xfId="0" applyFont="1" applyFill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25" fillId="0" borderId="0" xfId="0" applyFont="1" applyFill="1" applyAlignment="1" applyProtection="1">
      <alignment horizontal="left" vertical="center"/>
    </xf>
    <xf numFmtId="0" fontId="25" fillId="0" borderId="0" xfId="0" applyFont="1" applyFill="1" applyAlignment="1" applyProtection="1">
      <alignment horizontal="left" vertical="center" wrapText="1"/>
    </xf>
    <xf numFmtId="0" fontId="27" fillId="0" borderId="0" xfId="0" applyFont="1" applyFill="1" applyAlignment="1" applyProtection="1">
      <alignment horizontal="left" vertical="center"/>
    </xf>
    <xf numFmtId="0" fontId="26" fillId="0" borderId="0" xfId="0" applyFont="1" applyFill="1" applyAlignment="1" applyProtection="1">
      <alignment horizontal="left" vertical="center"/>
    </xf>
    <xf numFmtId="0" fontId="26" fillId="0" borderId="0" xfId="0" applyFont="1" applyFill="1" applyAlignment="1" applyProtection="1">
      <alignment horizontal="left" vertical="center" wrapText="1"/>
    </xf>
    <xf numFmtId="0" fontId="24" fillId="0" borderId="20" xfId="0" applyFont="1" applyFill="1" applyBorder="1" applyAlignment="1" applyProtection="1">
      <alignment horizontal="left" vertical="center"/>
    </xf>
    <xf numFmtId="0" fontId="27" fillId="0" borderId="20" xfId="0" applyFont="1" applyFill="1" applyBorder="1" applyAlignment="1" applyProtection="1">
      <alignment horizontal="left" vertical="center"/>
    </xf>
    <xf numFmtId="0" fontId="27" fillId="0" borderId="20" xfId="0" applyFont="1" applyFill="1" applyBorder="1" applyAlignment="1" applyProtection="1">
      <alignment horizontal="left" vertical="center" wrapText="1"/>
    </xf>
    <xf numFmtId="0" fontId="0" fillId="0" borderId="20" xfId="0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left" vertical="center"/>
    </xf>
    <xf numFmtId="0" fontId="27" fillId="0" borderId="0" xfId="0" applyFont="1" applyFill="1" applyBorder="1" applyAlignment="1" applyProtection="1">
      <alignment horizontal="left" vertical="center"/>
    </xf>
    <xf numFmtId="0" fontId="27" fillId="0" borderId="0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165" fontId="22" fillId="0" borderId="0" xfId="0" applyNumberFormat="1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165" fontId="0" fillId="0" borderId="0" xfId="0" applyNumberFormat="1" applyAlignment="1" applyProtection="1">
      <alignment vertical="center"/>
    </xf>
    <xf numFmtId="0" fontId="29" fillId="0" borderId="0" xfId="0" applyFont="1" applyAlignment="1" applyProtection="1">
      <alignment horizontal="right" vertical="center"/>
    </xf>
    <xf numFmtId="165" fontId="0" fillId="0" borderId="0" xfId="1" applyNumberFormat="1" applyFont="1" applyAlignment="1" applyProtection="1">
      <alignment vertical="center"/>
    </xf>
    <xf numFmtId="0" fontId="32" fillId="0" borderId="0" xfId="0" applyFont="1" applyAlignment="1" applyProtection="1">
      <alignment vertical="center"/>
    </xf>
    <xf numFmtId="165" fontId="32" fillId="0" borderId="0" xfId="0" applyNumberFormat="1" applyFont="1" applyAlignment="1" applyProtection="1">
      <alignment vertical="center"/>
    </xf>
    <xf numFmtId="165" fontId="21" fillId="0" borderId="0" xfId="1" applyNumberFormat="1" applyFont="1" applyAlignment="1" applyProtection="1">
      <alignment vertical="center"/>
    </xf>
    <xf numFmtId="0" fontId="34" fillId="0" borderId="0" xfId="0" applyFont="1" applyAlignment="1" applyProtection="1">
      <alignment vertical="center"/>
    </xf>
    <xf numFmtId="165" fontId="34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39" fillId="0" borderId="0" xfId="0" applyFont="1" applyAlignment="1" applyProtection="1">
      <alignment horizontal="right" vertical="center"/>
    </xf>
    <xf numFmtId="0" fontId="30" fillId="0" borderId="0" xfId="0" applyFont="1" applyBorder="1" applyAlignment="1" applyProtection="1">
      <alignment vertical="center"/>
    </xf>
    <xf numFmtId="0" fontId="16" fillId="0" borderId="22" xfId="0" applyFont="1" applyBorder="1" applyAlignment="1" applyProtection="1">
      <alignment horizontal="right" vertical="center"/>
    </xf>
    <xf numFmtId="165" fontId="16" fillId="0" borderId="23" xfId="0" applyNumberFormat="1" applyFont="1" applyBorder="1" applyAlignment="1" applyProtection="1">
      <alignment horizontal="right" vertical="center"/>
    </xf>
    <xf numFmtId="0" fontId="35" fillId="0" borderId="24" xfId="0" applyFont="1" applyBorder="1" applyAlignment="1" applyProtection="1">
      <alignment horizontal="right" vertical="center"/>
    </xf>
    <xf numFmtId="165" fontId="35" fillId="33" borderId="31" xfId="1" applyNumberFormat="1" applyFont="1" applyFill="1" applyBorder="1" applyAlignment="1" applyProtection="1">
      <alignment horizontal="right" vertical="center"/>
    </xf>
    <xf numFmtId="0" fontId="0" fillId="0" borderId="24" xfId="0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39" fillId="0" borderId="24" xfId="0" applyFont="1" applyBorder="1" applyAlignment="1" applyProtection="1">
      <alignment horizontal="right" vertical="center"/>
    </xf>
    <xf numFmtId="0" fontId="39" fillId="0" borderId="26" xfId="0" applyFont="1" applyBorder="1" applyAlignment="1" applyProtection="1">
      <alignment horizontal="right" vertical="center"/>
    </xf>
    <xf numFmtId="165" fontId="16" fillId="0" borderId="22" xfId="0" applyNumberFormat="1" applyFont="1" applyBorder="1" applyAlignment="1" applyProtection="1">
      <alignment horizontal="right" vertical="center"/>
    </xf>
    <xf numFmtId="0" fontId="16" fillId="0" borderId="24" xfId="0" applyFont="1" applyBorder="1" applyAlignment="1" applyProtection="1">
      <alignment horizontal="right" vertical="center"/>
    </xf>
    <xf numFmtId="0" fontId="0" fillId="34" borderId="35" xfId="0" applyFill="1" applyBorder="1" applyAlignment="1" applyProtection="1">
      <alignment horizontal="center" vertical="center"/>
      <protection locked="0"/>
    </xf>
    <xf numFmtId="0" fontId="31" fillId="34" borderId="35" xfId="0" applyFont="1" applyFill="1" applyBorder="1" applyAlignment="1" applyProtection="1">
      <alignment horizontal="center" vertical="center"/>
      <protection locked="0"/>
    </xf>
    <xf numFmtId="164" fontId="0" fillId="34" borderId="35" xfId="1" applyNumberFormat="1" applyFont="1" applyFill="1" applyBorder="1" applyAlignment="1" applyProtection="1">
      <alignment horizontal="center" vertical="center"/>
      <protection locked="0"/>
    </xf>
    <xf numFmtId="9" fontId="0" fillId="34" borderId="35" xfId="2" applyFont="1" applyFill="1" applyBorder="1" applyAlignment="1" applyProtection="1">
      <alignment horizontal="center" vertical="center"/>
      <protection locked="0"/>
    </xf>
    <xf numFmtId="0" fontId="33" fillId="0" borderId="39" xfId="0" applyFont="1" applyFill="1" applyBorder="1" applyAlignment="1" applyProtection="1">
      <alignment vertical="center"/>
    </xf>
    <xf numFmtId="165" fontId="32" fillId="0" borderId="40" xfId="0" applyNumberFormat="1" applyFont="1" applyFill="1" applyBorder="1" applyAlignment="1" applyProtection="1">
      <alignment vertical="center"/>
    </xf>
    <xf numFmtId="0" fontId="21" fillId="0" borderId="24" xfId="0" applyFont="1" applyFill="1" applyBorder="1" applyAlignment="1" applyProtection="1">
      <alignment horizontal="right" vertical="center"/>
    </xf>
    <xf numFmtId="165" fontId="21" fillId="0" borderId="25" xfId="1" applyNumberFormat="1" applyFont="1" applyBorder="1" applyAlignment="1" applyProtection="1">
      <alignment vertical="center"/>
    </xf>
    <xf numFmtId="165" fontId="0" fillId="0" borderId="25" xfId="1" applyNumberFormat="1" applyFont="1" applyBorder="1" applyAlignment="1" applyProtection="1">
      <alignment vertical="center"/>
    </xf>
    <xf numFmtId="0" fontId="0" fillId="0" borderId="24" xfId="0" applyBorder="1" applyAlignment="1" applyProtection="1">
      <alignment horizontal="right" vertical="center"/>
    </xf>
    <xf numFmtId="165" fontId="0" fillId="0" borderId="38" xfId="1" applyNumberFormat="1" applyFont="1" applyBorder="1" applyAlignment="1" applyProtection="1">
      <alignment vertical="center"/>
    </xf>
    <xf numFmtId="165" fontId="21" fillId="0" borderId="24" xfId="1" applyNumberFormat="1" applyFont="1" applyFill="1" applyBorder="1" applyAlignment="1" applyProtection="1">
      <alignment horizontal="right" vertical="center"/>
    </xf>
    <xf numFmtId="165" fontId="0" fillId="0" borderId="24" xfId="1" applyNumberFormat="1" applyFont="1" applyBorder="1" applyAlignment="1" applyProtection="1">
      <alignment vertical="center"/>
    </xf>
    <xf numFmtId="165" fontId="0" fillId="0" borderId="24" xfId="1" applyNumberFormat="1" applyFont="1" applyBorder="1" applyAlignment="1" applyProtection="1">
      <alignment horizontal="right" vertical="center"/>
    </xf>
    <xf numFmtId="0" fontId="0" fillId="0" borderId="24" xfId="0" applyFont="1" applyBorder="1" applyAlignment="1" applyProtection="1">
      <alignment horizontal="right" vertical="center"/>
    </xf>
    <xf numFmtId="165" fontId="1" fillId="0" borderId="25" xfId="1" applyNumberFormat="1" applyFont="1" applyBorder="1" applyAlignment="1" applyProtection="1">
      <alignment horizontal="right" vertical="center"/>
    </xf>
    <xf numFmtId="165" fontId="1" fillId="0" borderId="0" xfId="1" applyNumberFormat="1" applyFont="1" applyAlignment="1" applyProtection="1">
      <alignment vertical="center"/>
    </xf>
    <xf numFmtId="165" fontId="1" fillId="0" borderId="24" xfId="1" applyNumberFormat="1" applyFont="1" applyBorder="1" applyAlignment="1" applyProtection="1">
      <alignment horizontal="right" vertical="center"/>
    </xf>
    <xf numFmtId="165" fontId="1" fillId="0" borderId="24" xfId="1" applyNumberFormat="1" applyFont="1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165" fontId="1" fillId="0" borderId="25" xfId="1" applyNumberFormat="1" applyFont="1" applyBorder="1" applyAlignment="1" applyProtection="1">
      <alignment vertical="center"/>
    </xf>
    <xf numFmtId="0" fontId="0" fillId="0" borderId="26" xfId="0" applyFont="1" applyBorder="1" applyAlignment="1" applyProtection="1">
      <alignment horizontal="right" vertical="center"/>
    </xf>
    <xf numFmtId="165" fontId="1" fillId="0" borderId="27" xfId="1" applyNumberFormat="1" applyFont="1" applyBorder="1" applyAlignment="1" applyProtection="1">
      <alignment horizontal="right" vertical="center"/>
    </xf>
    <xf numFmtId="165" fontId="1" fillId="0" borderId="26" xfId="1" applyNumberFormat="1" applyFont="1" applyBorder="1" applyAlignment="1" applyProtection="1">
      <alignment horizontal="right" vertical="center"/>
    </xf>
    <xf numFmtId="44" fontId="40" fillId="35" borderId="25" xfId="0" applyNumberFormat="1" applyFont="1" applyFill="1" applyBorder="1" applyAlignment="1" applyProtection="1">
      <alignment horizontal="right" vertical="center"/>
    </xf>
    <xf numFmtId="44" fontId="40" fillId="35" borderId="27" xfId="0" applyNumberFormat="1" applyFont="1" applyFill="1" applyBorder="1" applyAlignment="1" applyProtection="1">
      <alignment horizontal="right" vertical="center"/>
    </xf>
    <xf numFmtId="0" fontId="0" fillId="36" borderId="24" xfId="0" applyFill="1" applyBorder="1" applyAlignment="1" applyProtection="1">
      <alignment vertical="center"/>
    </xf>
    <xf numFmtId="0" fontId="0" fillId="36" borderId="0" xfId="0" applyFill="1" applyBorder="1" applyAlignment="1" applyProtection="1">
      <alignment vertical="center"/>
    </xf>
    <xf numFmtId="0" fontId="0" fillId="36" borderId="25" xfId="0" applyFill="1" applyBorder="1" applyAlignment="1" applyProtection="1">
      <alignment vertical="center"/>
    </xf>
    <xf numFmtId="0" fontId="16" fillId="36" borderId="24" xfId="0" applyFont="1" applyFill="1" applyBorder="1" applyAlignment="1" applyProtection="1">
      <alignment horizontal="right" vertical="center"/>
    </xf>
    <xf numFmtId="0" fontId="16" fillId="36" borderId="0" xfId="0" applyFont="1" applyFill="1" applyBorder="1" applyAlignment="1" applyProtection="1">
      <alignment horizontal="right" vertical="center"/>
    </xf>
    <xf numFmtId="0" fontId="0" fillId="36" borderId="25" xfId="0" applyFill="1" applyBorder="1" applyAlignment="1" applyProtection="1">
      <alignment horizontal="center" vertical="center"/>
    </xf>
    <xf numFmtId="0" fontId="41" fillId="36" borderId="0" xfId="0" applyFont="1" applyFill="1" applyBorder="1" applyAlignment="1" applyProtection="1">
      <alignment horizontal="right" vertical="center"/>
    </xf>
    <xf numFmtId="164" fontId="0" fillId="36" borderId="35" xfId="1" applyNumberFormat="1" applyFont="1" applyFill="1" applyBorder="1" applyAlignment="1" applyProtection="1">
      <alignment horizontal="center" vertical="center"/>
    </xf>
    <xf numFmtId="9" fontId="0" fillId="36" borderId="25" xfId="2" applyFont="1" applyFill="1" applyBorder="1" applyAlignment="1" applyProtection="1">
      <alignment horizontal="center" vertical="center"/>
    </xf>
    <xf numFmtId="0" fontId="21" fillId="36" borderId="24" xfId="0" applyFont="1" applyFill="1" applyBorder="1" applyAlignment="1" applyProtection="1">
      <alignment vertical="center"/>
    </xf>
    <xf numFmtId="165" fontId="22" fillId="36" borderId="37" xfId="0" applyNumberFormat="1" applyFont="1" applyFill="1" applyBorder="1" applyAlignment="1" applyProtection="1">
      <alignment vertical="center"/>
    </xf>
    <xf numFmtId="0" fontId="33" fillId="36" borderId="39" xfId="0" applyFont="1" applyFill="1" applyBorder="1" applyAlignment="1" applyProtection="1">
      <alignment vertical="center"/>
    </xf>
    <xf numFmtId="165" fontId="32" fillId="36" borderId="19" xfId="0" applyNumberFormat="1" applyFont="1" applyFill="1" applyBorder="1" applyAlignment="1" applyProtection="1">
      <alignment vertical="center"/>
    </xf>
    <xf numFmtId="165" fontId="32" fillId="36" borderId="40" xfId="0" applyNumberFormat="1" applyFont="1" applyFill="1" applyBorder="1" applyAlignment="1" applyProtection="1">
      <alignment vertical="center"/>
    </xf>
    <xf numFmtId="165" fontId="21" fillId="36" borderId="24" xfId="1" applyNumberFormat="1" applyFont="1" applyFill="1" applyBorder="1" applyAlignment="1" applyProtection="1">
      <alignment vertical="center"/>
    </xf>
    <xf numFmtId="165" fontId="21" fillId="36" borderId="0" xfId="1" applyNumberFormat="1" applyFont="1" applyFill="1" applyBorder="1" applyAlignment="1" applyProtection="1">
      <alignment horizontal="right" vertical="center"/>
    </xf>
    <xf numFmtId="165" fontId="21" fillId="36" borderId="25" xfId="1" applyNumberFormat="1" applyFont="1" applyFill="1" applyBorder="1" applyAlignment="1" applyProtection="1">
      <alignment vertical="center"/>
    </xf>
    <xf numFmtId="165" fontId="0" fillId="36" borderId="24" xfId="1" applyNumberFormat="1" applyFont="1" applyFill="1" applyBorder="1" applyAlignment="1" applyProtection="1">
      <alignment vertical="center"/>
    </xf>
    <xf numFmtId="165" fontId="0" fillId="36" borderId="0" xfId="1" applyNumberFormat="1" applyFont="1" applyFill="1" applyBorder="1" applyAlignment="1" applyProtection="1">
      <alignment vertical="center"/>
    </xf>
    <xf numFmtId="165" fontId="0" fillId="36" borderId="25" xfId="1" applyNumberFormat="1" applyFont="1" applyFill="1" applyBorder="1" applyAlignment="1" applyProtection="1">
      <alignment vertical="center"/>
    </xf>
    <xf numFmtId="165" fontId="21" fillId="36" borderId="38" xfId="1" applyNumberFormat="1" applyFont="1" applyFill="1" applyBorder="1" applyAlignment="1" applyProtection="1">
      <alignment vertical="center"/>
    </xf>
    <xf numFmtId="165" fontId="1" fillId="36" borderId="24" xfId="1" applyNumberFormat="1" applyFont="1" applyFill="1" applyBorder="1" applyAlignment="1" applyProtection="1">
      <alignment vertical="center"/>
    </xf>
    <xf numFmtId="165" fontId="21" fillId="36" borderId="25" xfId="1" applyNumberFormat="1" applyFont="1" applyFill="1" applyBorder="1" applyAlignment="1" applyProtection="1">
      <alignment horizontal="right" vertical="center"/>
    </xf>
    <xf numFmtId="165" fontId="21" fillId="36" borderId="0" xfId="1" applyNumberFormat="1" applyFont="1" applyFill="1" applyBorder="1" applyAlignment="1" applyProtection="1">
      <alignment vertical="center"/>
    </xf>
    <xf numFmtId="165" fontId="1" fillId="36" borderId="26" xfId="1" applyNumberFormat="1" applyFont="1" applyFill="1" applyBorder="1" applyAlignment="1" applyProtection="1">
      <alignment vertical="center"/>
    </xf>
    <xf numFmtId="165" fontId="21" fillId="36" borderId="30" xfId="1" applyNumberFormat="1" applyFont="1" applyFill="1" applyBorder="1" applyAlignment="1" applyProtection="1">
      <alignment horizontal="right" vertical="center"/>
    </xf>
    <xf numFmtId="165" fontId="21" fillId="36" borderId="27" xfId="1" applyNumberFormat="1" applyFont="1" applyFill="1" applyBorder="1" applyAlignment="1" applyProtection="1">
      <alignment horizontal="right" vertical="center"/>
    </xf>
    <xf numFmtId="165" fontId="34" fillId="36" borderId="24" xfId="0" applyNumberFormat="1" applyFont="1" applyFill="1" applyBorder="1" applyAlignment="1" applyProtection="1">
      <alignment vertical="center"/>
    </xf>
    <xf numFmtId="0" fontId="39" fillId="36" borderId="24" xfId="0" applyFont="1" applyFill="1" applyBorder="1" applyAlignment="1" applyProtection="1">
      <alignment horizontal="right" vertical="center"/>
    </xf>
    <xf numFmtId="0" fontId="30" fillId="36" borderId="24" xfId="0" applyFont="1" applyFill="1" applyBorder="1" applyAlignment="1" applyProtection="1">
      <alignment vertical="center"/>
    </xf>
    <xf numFmtId="0" fontId="29" fillId="36" borderId="24" xfId="0" applyFont="1" applyFill="1" applyBorder="1" applyAlignment="1" applyProtection="1">
      <alignment horizontal="right" vertical="center"/>
    </xf>
    <xf numFmtId="0" fontId="0" fillId="36" borderId="26" xfId="0" applyFill="1" applyBorder="1" applyAlignment="1" applyProtection="1">
      <alignment vertical="center"/>
    </xf>
    <xf numFmtId="165" fontId="16" fillId="36" borderId="32" xfId="0" applyNumberFormat="1" applyFont="1" applyFill="1" applyBorder="1" applyAlignment="1" applyProtection="1">
      <alignment horizontal="right" vertical="center"/>
    </xf>
    <xf numFmtId="165" fontId="16" fillId="36" borderId="23" xfId="0" applyNumberFormat="1" applyFont="1" applyFill="1" applyBorder="1" applyAlignment="1" applyProtection="1">
      <alignment horizontal="right" vertical="center"/>
    </xf>
    <xf numFmtId="165" fontId="0" fillId="36" borderId="22" xfId="0" applyNumberFormat="1" applyFill="1" applyBorder="1" applyAlignment="1" applyProtection="1">
      <alignment vertical="center"/>
    </xf>
    <xf numFmtId="0" fontId="42" fillId="0" borderId="24" xfId="0" applyFont="1" applyBorder="1" applyAlignment="1" applyProtection="1">
      <alignment horizontal="right" vertical="center"/>
    </xf>
    <xf numFmtId="0" fontId="42" fillId="0" borderId="36" xfId="0" applyFont="1" applyFill="1" applyBorder="1" applyAlignment="1" applyProtection="1">
      <alignment horizontal="center" vertical="center"/>
    </xf>
    <xf numFmtId="0" fontId="42" fillId="0" borderId="37" xfId="0" applyFont="1" applyBorder="1" applyAlignment="1" applyProtection="1">
      <alignment horizontal="right" vertical="center"/>
    </xf>
    <xf numFmtId="0" fontId="42" fillId="0" borderId="38" xfId="0" applyFont="1" applyFill="1" applyBorder="1" applyAlignment="1" applyProtection="1">
      <alignment horizontal="center" vertical="center"/>
    </xf>
    <xf numFmtId="0" fontId="43" fillId="36" borderId="0" xfId="0" applyFont="1" applyFill="1" applyBorder="1" applyAlignment="1" applyProtection="1">
      <alignment horizontal="right" vertical="center"/>
    </xf>
    <xf numFmtId="165" fontId="43" fillId="36" borderId="20" xfId="0" applyNumberFormat="1" applyFont="1" applyFill="1" applyBorder="1" applyAlignment="1" applyProtection="1">
      <alignment horizontal="right" vertical="center"/>
    </xf>
    <xf numFmtId="0" fontId="43" fillId="36" borderId="38" xfId="0" applyFont="1" applyFill="1" applyBorder="1" applyAlignment="1" applyProtection="1">
      <alignment horizontal="center" vertical="center"/>
    </xf>
    <xf numFmtId="0" fontId="43" fillId="36" borderId="35" xfId="0" applyFont="1" applyFill="1" applyBorder="1" applyAlignment="1" applyProtection="1">
      <alignment horizontal="center" vertical="center"/>
    </xf>
    <xf numFmtId="0" fontId="44" fillId="0" borderId="0" xfId="0" applyFont="1" applyAlignment="1" applyProtection="1">
      <alignment vertical="center"/>
    </xf>
    <xf numFmtId="165" fontId="16" fillId="0" borderId="42" xfId="0" applyNumberFormat="1" applyFont="1" applyBorder="1" applyAlignment="1" applyProtection="1">
      <alignment vertical="center"/>
    </xf>
    <xf numFmtId="165" fontId="43" fillId="36" borderId="0" xfId="0" applyNumberFormat="1" applyFont="1" applyFill="1" applyBorder="1" applyAlignment="1" applyProtection="1">
      <alignment horizontal="right" vertical="center"/>
    </xf>
    <xf numFmtId="165" fontId="43" fillId="33" borderId="31" xfId="1" applyNumberFormat="1" applyFont="1" applyFill="1" applyBorder="1" applyAlignment="1" applyProtection="1">
      <alignment horizontal="right" vertical="center"/>
    </xf>
    <xf numFmtId="0" fontId="43" fillId="36" borderId="0" xfId="0" applyFont="1" applyFill="1" applyBorder="1" applyAlignment="1" applyProtection="1">
      <alignment vertical="center"/>
    </xf>
    <xf numFmtId="0" fontId="43" fillId="36" borderId="25" xfId="0" applyFont="1" applyFill="1" applyBorder="1" applyAlignment="1" applyProtection="1">
      <alignment vertical="center"/>
    </xf>
    <xf numFmtId="0" fontId="45" fillId="36" borderId="0" xfId="0" applyFont="1" applyFill="1" applyBorder="1" applyAlignment="1" applyProtection="1">
      <alignment horizontal="right" vertical="center"/>
    </xf>
    <xf numFmtId="44" fontId="45" fillId="35" borderId="25" xfId="0" applyNumberFormat="1" applyFont="1" applyFill="1" applyBorder="1" applyAlignment="1" applyProtection="1">
      <alignment horizontal="right" vertical="center"/>
    </xf>
    <xf numFmtId="44" fontId="45" fillId="35" borderId="27" xfId="0" applyNumberFormat="1" applyFont="1" applyFill="1" applyBorder="1" applyAlignment="1" applyProtection="1">
      <alignment horizontal="right" vertical="center"/>
    </xf>
    <xf numFmtId="0" fontId="45" fillId="36" borderId="30" xfId="0" applyFont="1" applyFill="1" applyBorder="1" applyAlignment="1" applyProtection="1">
      <alignment horizontal="right" vertical="center"/>
    </xf>
    <xf numFmtId="0" fontId="0" fillId="0" borderId="43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0" fillId="0" borderId="51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42" fillId="0" borderId="10" xfId="0" applyFont="1" applyBorder="1" applyAlignment="1" applyProtection="1">
      <alignment horizontal="center" vertical="center"/>
    </xf>
    <xf numFmtId="0" fontId="42" fillId="0" borderId="19" xfId="0" applyFont="1" applyBorder="1" applyAlignment="1" applyProtection="1">
      <alignment horizontal="center" vertical="center"/>
    </xf>
    <xf numFmtId="0" fontId="42" fillId="0" borderId="49" xfId="0" applyFont="1" applyBorder="1" applyAlignment="1" applyProtection="1">
      <alignment horizontal="center" vertical="center"/>
    </xf>
    <xf numFmtId="0" fontId="42" fillId="0" borderId="50" xfId="0" applyFont="1" applyBorder="1" applyAlignment="1" applyProtection="1">
      <alignment horizontal="center" vertical="center"/>
    </xf>
    <xf numFmtId="0" fontId="42" fillId="0" borderId="46" xfId="0" applyFont="1" applyBorder="1" applyAlignment="1" applyProtection="1">
      <alignment horizontal="center" vertical="center"/>
    </xf>
    <xf numFmtId="0" fontId="20" fillId="0" borderId="19" xfId="0" applyFont="1" applyBorder="1" applyAlignment="1" applyProtection="1">
      <alignment horizontal="center" vertical="center"/>
    </xf>
    <xf numFmtId="0" fontId="20" fillId="0" borderId="11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46" fillId="0" borderId="20" xfId="0" applyFont="1" applyBorder="1" applyAlignment="1" applyProtection="1">
      <alignment vertical="center"/>
    </xf>
    <xf numFmtId="0" fontId="37" fillId="0" borderId="0" xfId="0" applyFont="1" applyAlignment="1" applyProtection="1">
      <alignment horizontal="center" vertical="center" wrapText="1"/>
    </xf>
    <xf numFmtId="0" fontId="35" fillId="0" borderId="0" xfId="0" applyFont="1" applyAlignment="1" applyProtection="1">
      <alignment horizontal="center" vertical="center"/>
    </xf>
    <xf numFmtId="0" fontId="34" fillId="35" borderId="22" xfId="0" applyFont="1" applyFill="1" applyBorder="1" applyAlignment="1" applyProtection="1">
      <alignment horizontal="center" vertical="center" wrapText="1"/>
    </xf>
    <xf numFmtId="0" fontId="34" fillId="35" borderId="23" xfId="0" applyFont="1" applyFill="1" applyBorder="1" applyAlignment="1" applyProtection="1">
      <alignment horizontal="center" vertical="center" wrapText="1"/>
    </xf>
    <xf numFmtId="0" fontId="34" fillId="35" borderId="24" xfId="0" applyFont="1" applyFill="1" applyBorder="1" applyAlignment="1" applyProtection="1">
      <alignment horizontal="center" vertical="center" wrapText="1"/>
    </xf>
    <xf numFmtId="0" fontId="34" fillId="35" borderId="25" xfId="0" applyFont="1" applyFill="1" applyBorder="1" applyAlignment="1" applyProtection="1">
      <alignment horizontal="center" vertical="center" wrapText="1"/>
    </xf>
    <xf numFmtId="0" fontId="34" fillId="35" borderId="26" xfId="0" applyFont="1" applyFill="1" applyBorder="1" applyAlignment="1" applyProtection="1">
      <alignment horizontal="center" vertical="center" wrapText="1"/>
    </xf>
    <xf numFmtId="0" fontId="34" fillId="35" borderId="27" xfId="0" applyFont="1" applyFill="1" applyBorder="1" applyAlignment="1" applyProtection="1">
      <alignment horizontal="center" vertical="center" wrapText="1"/>
    </xf>
    <xf numFmtId="0" fontId="20" fillId="34" borderId="33" xfId="0" applyFont="1" applyFill="1" applyBorder="1" applyAlignment="1" applyProtection="1">
      <alignment horizontal="center" vertical="center" wrapText="1"/>
      <protection locked="0"/>
    </xf>
    <xf numFmtId="0" fontId="20" fillId="34" borderId="34" xfId="0" applyFont="1" applyFill="1" applyBorder="1" applyAlignment="1" applyProtection="1">
      <alignment horizontal="center" vertical="center" wrapText="1"/>
      <protection locked="0"/>
    </xf>
    <xf numFmtId="0" fontId="23" fillId="36" borderId="33" xfId="0" applyFont="1" applyFill="1" applyBorder="1" applyAlignment="1" applyProtection="1">
      <alignment horizontal="center" vertical="center" wrapText="1"/>
    </xf>
    <xf numFmtId="0" fontId="23" fillId="36" borderId="41" xfId="0" applyFont="1" applyFill="1" applyBorder="1" applyAlignment="1" applyProtection="1">
      <alignment horizontal="center" vertical="center" wrapText="1"/>
    </xf>
    <xf numFmtId="0" fontId="23" fillId="36" borderId="34" xfId="0" applyFont="1" applyFill="1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textRotation="90"/>
    </xf>
    <xf numFmtId="0" fontId="0" fillId="0" borderId="13" xfId="0" applyBorder="1" applyAlignment="1" applyProtection="1">
      <alignment horizontal="center" textRotation="90"/>
    </xf>
    <xf numFmtId="0" fontId="0" fillId="0" borderId="29" xfId="0" applyBorder="1" applyAlignment="1" applyProtection="1">
      <alignment horizontal="center" textRotation="90"/>
    </xf>
    <xf numFmtId="0" fontId="0" fillId="0" borderId="52" xfId="0" applyBorder="1" applyAlignment="1" applyProtection="1">
      <alignment horizontal="center" textRotation="90"/>
    </xf>
    <xf numFmtId="0" fontId="0" fillId="0" borderId="0" xfId="0" applyBorder="1" applyAlignment="1" applyProtection="1">
      <alignment horizontal="center" textRotation="90"/>
    </xf>
    <xf numFmtId="0" fontId="0" fillId="0" borderId="30" xfId="0" applyBorder="1" applyAlignment="1" applyProtection="1">
      <alignment horizontal="center" textRotation="90"/>
    </xf>
    <xf numFmtId="0" fontId="0" fillId="0" borderId="54" xfId="0" applyBorder="1" applyAlignment="1" applyProtection="1">
      <alignment horizontal="center" textRotation="90"/>
    </xf>
    <xf numFmtId="0" fontId="0" fillId="0" borderId="55" xfId="0" applyBorder="1" applyAlignment="1" applyProtection="1">
      <alignment horizontal="center" textRotation="90"/>
    </xf>
    <xf numFmtId="0" fontId="0" fillId="0" borderId="56" xfId="0" applyBorder="1" applyAlignment="1" applyProtection="1">
      <alignment horizontal="center" textRotation="90"/>
    </xf>
    <xf numFmtId="0" fontId="35" fillId="0" borderId="53" xfId="0" applyFont="1" applyBorder="1" applyAlignment="1" applyProtection="1">
      <alignment horizontal="center" vertical="center"/>
    </xf>
    <xf numFmtId="0" fontId="35" fillId="0" borderId="12" xfId="0" applyFont="1" applyBorder="1" applyAlignment="1" applyProtection="1">
      <alignment horizontal="center" vertical="center"/>
    </xf>
    <xf numFmtId="0" fontId="35" fillId="0" borderId="14" xfId="0" applyFont="1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textRotation="90"/>
    </xf>
    <xf numFmtId="0" fontId="0" fillId="0" borderId="12" xfId="0" applyBorder="1" applyAlignment="1" applyProtection="1">
      <alignment horizontal="center" textRotation="90"/>
    </xf>
    <xf numFmtId="0" fontId="0" fillId="0" borderId="28" xfId="0" applyBorder="1" applyAlignment="1" applyProtection="1">
      <alignment horizontal="center" textRotation="90"/>
    </xf>
  </cellXfs>
  <cellStyles count="50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 2" xfId="45"/>
    <cellStyle name="Currency" xfId="1" builtinId="4"/>
    <cellStyle name="Currency 2" xfId="46"/>
    <cellStyle name="Currency 3" xfId="48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4"/>
    <cellStyle name="Normal 3" xfId="49"/>
    <cellStyle name="Note" xfId="17" builtinId="10" customBuiltin="1"/>
    <cellStyle name="Output" xfId="12" builtinId="21" customBuiltin="1"/>
    <cellStyle name="Percent" xfId="2" builtinId="5"/>
    <cellStyle name="Percent 2" xfId="47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0</xdr:row>
      <xdr:rowOff>74083</xdr:rowOff>
    </xdr:from>
    <xdr:to>
      <xdr:col>0</xdr:col>
      <xdr:colOff>656166</xdr:colOff>
      <xdr:row>2</xdr:row>
      <xdr:rowOff>179916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" y="74083"/>
          <a:ext cx="613833" cy="613833"/>
        </a:xfrm>
        <a:prstGeom prst="rect">
          <a:avLst/>
        </a:prstGeom>
      </xdr:spPr>
    </xdr:pic>
    <xdr:clientData/>
  </xdr:twoCellAnchor>
  <xdr:twoCellAnchor editAs="oneCell">
    <xdr:from>
      <xdr:col>11</xdr:col>
      <xdr:colOff>59530</xdr:colOff>
      <xdr:row>0</xdr:row>
      <xdr:rowOff>0</xdr:rowOff>
    </xdr:from>
    <xdr:to>
      <xdr:col>11</xdr:col>
      <xdr:colOff>673363</xdr:colOff>
      <xdr:row>2</xdr:row>
      <xdr:rowOff>105833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25374" y="0"/>
          <a:ext cx="613833" cy="6297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41"/>
  <sheetViews>
    <sheetView showGridLines="0" tabSelected="1" zoomScale="80" zoomScaleNormal="80" workbookViewId="0">
      <pane ySplit="9" topLeftCell="A10" activePane="bottomLeft" state="frozen"/>
      <selection pane="bottomLeft" activeCell="F13" sqref="F13"/>
    </sheetView>
  </sheetViews>
  <sheetFormatPr defaultRowHeight="15" x14ac:dyDescent="0.25"/>
  <cols>
    <col min="1" max="1" width="10.42578125" style="13" customWidth="1"/>
    <col min="2" max="2" width="32" style="13" customWidth="1"/>
    <col min="3" max="3" width="20.28515625" style="13" customWidth="1"/>
    <col min="4" max="4" width="2.5703125" style="13" customWidth="1"/>
    <col min="5" max="5" width="32.42578125" style="13" customWidth="1"/>
    <col min="6" max="6" width="20.28515625" style="13" customWidth="1"/>
    <col min="7" max="7" width="2.5703125" style="13" customWidth="1"/>
    <col min="8" max="8" width="1.7109375" style="13" customWidth="1"/>
    <col min="9" max="9" width="39.85546875" style="13" customWidth="1"/>
    <col min="10" max="10" width="16.5703125" style="13" customWidth="1"/>
    <col min="11" max="11" width="3" style="13" customWidth="1"/>
    <col min="12" max="12" width="11" style="13" customWidth="1"/>
    <col min="13" max="13" width="29.42578125" style="13" customWidth="1"/>
    <col min="14" max="28" width="4.5703125" style="13" bestFit="1" customWidth="1"/>
    <col min="29" max="16384" width="9.140625" style="13"/>
  </cols>
  <sheetData>
    <row r="1" spans="2:28" ht="20.25" x14ac:dyDescent="0.25">
      <c r="B1" s="12" t="s">
        <v>26</v>
      </c>
      <c r="D1" s="14"/>
      <c r="E1" s="15"/>
      <c r="F1" s="14"/>
      <c r="M1" s="12" t="s">
        <v>26</v>
      </c>
      <c r="O1" s="14"/>
      <c r="P1" s="15"/>
      <c r="Q1" s="14"/>
    </row>
    <row r="2" spans="2:28" ht="20.25" x14ac:dyDescent="0.25">
      <c r="B2" s="16" t="s">
        <v>81</v>
      </c>
      <c r="D2" s="17"/>
      <c r="E2" s="18"/>
      <c r="F2" s="17"/>
      <c r="M2" s="16" t="s">
        <v>81</v>
      </c>
      <c r="O2" s="17"/>
      <c r="P2" s="18"/>
      <c r="Q2" s="17"/>
    </row>
    <row r="3" spans="2:28" ht="18" x14ac:dyDescent="0.25">
      <c r="B3" s="19" t="s">
        <v>27</v>
      </c>
      <c r="C3" s="20"/>
      <c r="D3" s="20"/>
      <c r="E3" s="21"/>
      <c r="F3" s="20"/>
      <c r="G3" s="22"/>
      <c r="H3" s="22"/>
      <c r="I3" s="22"/>
      <c r="J3" s="22"/>
      <c r="M3" s="19" t="s">
        <v>27</v>
      </c>
      <c r="N3" s="20"/>
      <c r="O3" s="20"/>
      <c r="P3" s="21"/>
      <c r="Q3" s="20"/>
      <c r="R3" s="22"/>
      <c r="S3" s="22"/>
      <c r="T3" s="22"/>
      <c r="U3" s="22"/>
    </row>
    <row r="4" spans="2:28" ht="6" customHeight="1" thickBot="1" x14ac:dyDescent="0.3">
      <c r="B4" s="23"/>
      <c r="C4" s="24"/>
      <c r="D4" s="24"/>
      <c r="E4" s="25"/>
      <c r="F4" s="24"/>
      <c r="G4" s="26"/>
      <c r="H4" s="26"/>
      <c r="I4" s="26"/>
      <c r="J4" s="26"/>
    </row>
    <row r="5" spans="2:28" ht="32.25" customHeight="1" x14ac:dyDescent="0.25">
      <c r="B5" s="155" t="s">
        <v>44</v>
      </c>
      <c r="C5" s="156"/>
      <c r="D5" s="153" t="s">
        <v>80</v>
      </c>
      <c r="E5" s="153"/>
      <c r="F5" s="153"/>
      <c r="G5" s="153"/>
      <c r="H5" s="153"/>
      <c r="I5" s="153"/>
      <c r="J5" s="153"/>
    </row>
    <row r="6" spans="2:28" ht="21.75" customHeight="1" x14ac:dyDescent="0.25">
      <c r="B6" s="157"/>
      <c r="C6" s="158"/>
      <c r="D6" s="39"/>
      <c r="E6" s="39"/>
      <c r="F6" s="39"/>
      <c r="G6" s="39"/>
      <c r="H6" s="39"/>
      <c r="I6" s="39"/>
      <c r="J6" s="39"/>
      <c r="M6" s="152" t="s">
        <v>70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2:28" ht="19.5" thickBot="1" x14ac:dyDescent="0.3">
      <c r="B7" s="159"/>
      <c r="C7" s="160"/>
      <c r="D7" s="154" t="s">
        <v>28</v>
      </c>
      <c r="E7" s="154"/>
      <c r="F7" s="154"/>
      <c r="G7" s="154"/>
      <c r="H7" s="154"/>
      <c r="I7" s="154"/>
      <c r="J7" s="154"/>
      <c r="M7" s="175" t="s">
        <v>78</v>
      </c>
      <c r="N7" s="178" t="s">
        <v>79</v>
      </c>
      <c r="O7" s="169" t="s">
        <v>72</v>
      </c>
      <c r="P7" s="172" t="s">
        <v>73</v>
      </c>
      <c r="Q7" s="169" t="s">
        <v>75</v>
      </c>
      <c r="R7" s="169" t="s">
        <v>76</v>
      </c>
      <c r="S7" s="169" t="s">
        <v>74</v>
      </c>
      <c r="T7" s="172" t="s">
        <v>77</v>
      </c>
      <c r="U7" s="172" t="s">
        <v>61</v>
      </c>
      <c r="V7" s="169" t="s">
        <v>60</v>
      </c>
      <c r="W7" s="169" t="s">
        <v>63</v>
      </c>
      <c r="X7" s="169" t="s">
        <v>66</v>
      </c>
      <c r="Y7" s="169" t="s">
        <v>61</v>
      </c>
      <c r="Z7" s="169" t="s">
        <v>65</v>
      </c>
      <c r="AA7" s="169" t="s">
        <v>62</v>
      </c>
      <c r="AB7" s="166" t="s">
        <v>64</v>
      </c>
    </row>
    <row r="8" spans="2:28" ht="24.75" customHeight="1" thickBot="1" x14ac:dyDescent="0.3">
      <c r="M8" s="176"/>
      <c r="N8" s="179"/>
      <c r="O8" s="170"/>
      <c r="P8" s="173"/>
      <c r="Q8" s="170"/>
      <c r="R8" s="170"/>
      <c r="S8" s="170"/>
      <c r="T8" s="173"/>
      <c r="U8" s="173"/>
      <c r="V8" s="170"/>
      <c r="W8" s="170"/>
      <c r="X8" s="170"/>
      <c r="Y8" s="170"/>
      <c r="Z8" s="170"/>
      <c r="AA8" s="170"/>
      <c r="AB8" s="167"/>
    </row>
    <row r="9" spans="2:28" s="27" customFormat="1" ht="28.5" customHeight="1" thickBot="1" x14ac:dyDescent="0.3">
      <c r="B9" s="161" t="s">
        <v>24</v>
      </c>
      <c r="C9" s="162"/>
      <c r="E9" s="161" t="s">
        <v>25</v>
      </c>
      <c r="F9" s="162"/>
      <c r="H9" s="163" t="s">
        <v>23</v>
      </c>
      <c r="I9" s="164"/>
      <c r="J9" s="165"/>
      <c r="M9" s="176"/>
      <c r="N9" s="179"/>
      <c r="O9" s="170"/>
      <c r="P9" s="173"/>
      <c r="Q9" s="170"/>
      <c r="R9" s="170"/>
      <c r="S9" s="170"/>
      <c r="T9" s="173"/>
      <c r="U9" s="173"/>
      <c r="V9" s="170"/>
      <c r="W9" s="170"/>
      <c r="X9" s="170"/>
      <c r="Y9" s="170"/>
      <c r="Z9" s="170"/>
      <c r="AA9" s="170"/>
      <c r="AB9" s="167"/>
    </row>
    <row r="10" spans="2:28" ht="8.25" customHeight="1" x14ac:dyDescent="0.25">
      <c r="B10" s="46"/>
      <c r="C10" s="47"/>
      <c r="E10" s="46"/>
      <c r="F10" s="47"/>
      <c r="H10" s="78"/>
      <c r="I10" s="79"/>
      <c r="J10" s="80"/>
      <c r="M10" s="176"/>
      <c r="N10" s="179"/>
      <c r="O10" s="170"/>
      <c r="P10" s="173"/>
      <c r="Q10" s="170"/>
      <c r="R10" s="170"/>
      <c r="S10" s="170"/>
      <c r="T10" s="173"/>
      <c r="U10" s="173"/>
      <c r="V10" s="170"/>
      <c r="W10" s="170"/>
      <c r="X10" s="170"/>
      <c r="Y10" s="170"/>
      <c r="Z10" s="170"/>
      <c r="AA10" s="170"/>
      <c r="AB10" s="167"/>
    </row>
    <row r="11" spans="2:28" ht="20.25" customHeight="1" x14ac:dyDescent="0.25">
      <c r="B11" s="51" t="s">
        <v>16</v>
      </c>
      <c r="C11" s="52" t="s">
        <v>32</v>
      </c>
      <c r="E11" s="51" t="s">
        <v>16</v>
      </c>
      <c r="F11" s="52" t="s">
        <v>32</v>
      </c>
      <c r="H11" s="81"/>
      <c r="I11" s="82"/>
      <c r="J11" s="83"/>
      <c r="M11" s="176"/>
      <c r="N11" s="179"/>
      <c r="O11" s="170"/>
      <c r="P11" s="173"/>
      <c r="Q11" s="170"/>
      <c r="R11" s="170"/>
      <c r="S11" s="170"/>
      <c r="T11" s="173"/>
      <c r="U11" s="173"/>
      <c r="V11" s="170"/>
      <c r="W11" s="170"/>
      <c r="X11" s="170"/>
      <c r="Y11" s="170"/>
      <c r="Z11" s="170"/>
      <c r="AA11" s="170"/>
      <c r="AB11" s="167"/>
    </row>
    <row r="12" spans="2:28" ht="20.25" customHeight="1" x14ac:dyDescent="0.25">
      <c r="B12" s="51" t="s">
        <v>35</v>
      </c>
      <c r="C12" s="53" t="s">
        <v>40</v>
      </c>
      <c r="E12" s="51" t="s">
        <v>35</v>
      </c>
      <c r="F12" s="53" t="s">
        <v>40</v>
      </c>
      <c r="H12" s="81"/>
      <c r="I12" s="84"/>
      <c r="J12" s="83"/>
      <c r="M12" s="176"/>
      <c r="N12" s="179"/>
      <c r="O12" s="170"/>
      <c r="P12" s="173"/>
      <c r="Q12" s="170"/>
      <c r="R12" s="170"/>
      <c r="S12" s="170"/>
      <c r="T12" s="173"/>
      <c r="U12" s="173"/>
      <c r="V12" s="170"/>
      <c r="W12" s="170"/>
      <c r="X12" s="170"/>
      <c r="Y12" s="170"/>
      <c r="Z12" s="170"/>
      <c r="AA12" s="170"/>
      <c r="AB12" s="167"/>
    </row>
    <row r="13" spans="2:28" ht="20.25" customHeight="1" thickBot="1" x14ac:dyDescent="0.3">
      <c r="B13" s="51" t="s">
        <v>0</v>
      </c>
      <c r="C13" s="54"/>
      <c r="E13" s="51" t="s">
        <v>0</v>
      </c>
      <c r="F13" s="54"/>
      <c r="H13" s="78"/>
      <c r="I13" s="84" t="s">
        <v>53</v>
      </c>
      <c r="J13" s="85">
        <f>F13-C13</f>
        <v>0</v>
      </c>
      <c r="M13" s="177"/>
      <c r="N13" s="180"/>
      <c r="O13" s="171"/>
      <c r="P13" s="174"/>
      <c r="Q13" s="171"/>
      <c r="R13" s="171"/>
      <c r="S13" s="171"/>
      <c r="T13" s="174"/>
      <c r="U13" s="174"/>
      <c r="V13" s="171"/>
      <c r="W13" s="171"/>
      <c r="X13" s="171"/>
      <c r="Y13" s="171"/>
      <c r="Z13" s="171"/>
      <c r="AA13" s="171"/>
      <c r="AB13" s="168"/>
    </row>
    <row r="14" spans="2:28" ht="20.25" customHeight="1" x14ac:dyDescent="0.25">
      <c r="B14" s="51" t="s">
        <v>17</v>
      </c>
      <c r="C14" s="55">
        <v>1</v>
      </c>
      <c r="E14" s="51" t="s">
        <v>17</v>
      </c>
      <c r="F14" s="55">
        <v>1</v>
      </c>
      <c r="H14" s="81"/>
      <c r="I14" s="82"/>
      <c r="J14" s="86"/>
      <c r="M14" s="150" t="s">
        <v>58</v>
      </c>
      <c r="N14" s="131" t="s">
        <v>71</v>
      </c>
      <c r="O14" s="132" t="s">
        <v>71</v>
      </c>
      <c r="P14" s="133" t="s">
        <v>71</v>
      </c>
      <c r="Q14" s="132" t="s">
        <v>71</v>
      </c>
      <c r="R14" s="132" t="s">
        <v>71</v>
      </c>
      <c r="S14" s="134" t="s">
        <v>71</v>
      </c>
      <c r="T14" s="135"/>
      <c r="U14" s="132"/>
      <c r="V14" s="132"/>
      <c r="W14" s="132"/>
      <c r="X14" s="132"/>
      <c r="Y14" s="132"/>
      <c r="Z14" s="132"/>
      <c r="AA14" s="132"/>
      <c r="AB14" s="136"/>
    </row>
    <row r="15" spans="2:28" s="28" customFormat="1" ht="20.25" customHeight="1" x14ac:dyDescent="0.25">
      <c r="B15" s="113" t="s">
        <v>6</v>
      </c>
      <c r="C15" s="114">
        <f>2080*C14</f>
        <v>2080</v>
      </c>
      <c r="E15" s="113" t="s">
        <v>6</v>
      </c>
      <c r="F15" s="114">
        <f>2080*F14</f>
        <v>2080</v>
      </c>
      <c r="H15" s="87"/>
      <c r="I15" s="117" t="s">
        <v>54</v>
      </c>
      <c r="J15" s="120">
        <f>F15-C15</f>
        <v>0</v>
      </c>
      <c r="M15" s="151" t="s">
        <v>45</v>
      </c>
      <c r="N15" s="137" t="s">
        <v>71</v>
      </c>
      <c r="O15" s="138" t="s">
        <v>71</v>
      </c>
      <c r="P15" s="139" t="s">
        <v>71</v>
      </c>
      <c r="Q15" s="138"/>
      <c r="R15" s="138"/>
      <c r="S15" s="140"/>
      <c r="T15" s="141"/>
      <c r="U15" s="138"/>
      <c r="V15" s="138"/>
      <c r="W15" s="138"/>
      <c r="X15" s="138"/>
      <c r="Y15" s="138"/>
      <c r="Z15" s="138"/>
      <c r="AA15" s="138"/>
      <c r="AB15" s="142"/>
    </row>
    <row r="16" spans="2:28" s="30" customFormat="1" ht="20.25" customHeight="1" x14ac:dyDescent="0.25">
      <c r="B16" s="115" t="s">
        <v>5</v>
      </c>
      <c r="C16" s="116">
        <f>C15/26</f>
        <v>80</v>
      </c>
      <c r="D16" s="29"/>
      <c r="E16" s="115" t="s">
        <v>5</v>
      </c>
      <c r="F16" s="116">
        <f>F15/26</f>
        <v>80</v>
      </c>
      <c r="G16" s="29"/>
      <c r="H16" s="88"/>
      <c r="I16" s="118" t="s">
        <v>55</v>
      </c>
      <c r="J16" s="119">
        <f>J15/26</f>
        <v>0</v>
      </c>
      <c r="M16" s="143" t="s">
        <v>47</v>
      </c>
      <c r="N16" s="143" t="s">
        <v>71</v>
      </c>
      <c r="O16" s="144" t="s">
        <v>71</v>
      </c>
      <c r="P16" s="145" t="s">
        <v>71</v>
      </c>
      <c r="Q16" s="144"/>
      <c r="R16" s="144"/>
      <c r="S16" s="146"/>
      <c r="T16" s="147" t="s">
        <v>71</v>
      </c>
      <c r="U16" s="148"/>
      <c r="V16" s="148"/>
      <c r="W16" s="148"/>
      <c r="X16" s="148"/>
      <c r="Y16" s="148"/>
      <c r="Z16" s="148"/>
      <c r="AA16" s="148"/>
      <c r="AB16" s="149"/>
    </row>
    <row r="17" spans="2:28" s="34" customFormat="1" ht="22.5" customHeight="1" x14ac:dyDescent="0.25">
      <c r="B17" s="56" t="s">
        <v>41</v>
      </c>
      <c r="C17" s="57"/>
      <c r="D17" s="35"/>
      <c r="E17" s="56" t="s">
        <v>41</v>
      </c>
      <c r="F17" s="57"/>
      <c r="G17" s="35"/>
      <c r="H17" s="89" t="s">
        <v>42</v>
      </c>
      <c r="I17" s="90"/>
      <c r="J17" s="91"/>
      <c r="M17" s="151" t="s">
        <v>67</v>
      </c>
      <c r="N17" s="137" t="s">
        <v>71</v>
      </c>
      <c r="O17" s="138" t="s">
        <v>71</v>
      </c>
      <c r="P17" s="139" t="s">
        <v>71</v>
      </c>
      <c r="Q17" s="138"/>
      <c r="R17" s="138"/>
      <c r="S17" s="140"/>
      <c r="T17" s="141" t="s">
        <v>71</v>
      </c>
      <c r="U17" s="138" t="s">
        <v>71</v>
      </c>
      <c r="V17" s="138" t="s">
        <v>71</v>
      </c>
      <c r="W17" s="138" t="s">
        <v>71</v>
      </c>
      <c r="X17" s="138" t="s">
        <v>71</v>
      </c>
      <c r="Y17" s="138" t="s">
        <v>71</v>
      </c>
      <c r="Z17" s="138" t="s">
        <v>71</v>
      </c>
      <c r="AA17" s="138" t="s">
        <v>71</v>
      </c>
      <c r="AB17" s="142" t="s">
        <v>71</v>
      </c>
    </row>
    <row r="18" spans="2:28" s="28" customFormat="1" ht="22.5" customHeight="1" x14ac:dyDescent="0.25">
      <c r="B18" s="58" t="s">
        <v>37</v>
      </c>
      <c r="C18" s="59">
        <f>C13*C16</f>
        <v>0</v>
      </c>
      <c r="D18" s="36"/>
      <c r="E18" s="63" t="s">
        <v>37</v>
      </c>
      <c r="F18" s="59">
        <f>F13*F16</f>
        <v>0</v>
      </c>
      <c r="G18" s="36"/>
      <c r="H18" s="92"/>
      <c r="I18" s="93" t="s">
        <v>56</v>
      </c>
      <c r="J18" s="94">
        <f>F18-C18</f>
        <v>0</v>
      </c>
      <c r="M18" s="151" t="s">
        <v>46</v>
      </c>
      <c r="N18" s="137" t="s">
        <v>71</v>
      </c>
      <c r="O18" s="138" t="s">
        <v>71</v>
      </c>
      <c r="P18" s="139" t="s">
        <v>71</v>
      </c>
      <c r="Q18" s="138"/>
      <c r="R18" s="138"/>
      <c r="S18" s="140"/>
      <c r="T18" s="141" t="s">
        <v>71</v>
      </c>
      <c r="U18" s="138" t="s">
        <v>71</v>
      </c>
      <c r="V18" s="138" t="s">
        <v>71</v>
      </c>
      <c r="W18" s="138" t="s">
        <v>71</v>
      </c>
      <c r="X18" s="138" t="s">
        <v>71</v>
      </c>
      <c r="Y18" s="138" t="s">
        <v>71</v>
      </c>
      <c r="Z18" s="138" t="s">
        <v>71</v>
      </c>
      <c r="AA18" s="138" t="s">
        <v>71</v>
      </c>
      <c r="AB18" s="142" t="s">
        <v>71</v>
      </c>
    </row>
    <row r="19" spans="2:28" ht="15" customHeight="1" x14ac:dyDescent="0.25">
      <c r="B19" s="46"/>
      <c r="C19" s="60"/>
      <c r="D19" s="33"/>
      <c r="E19" s="64"/>
      <c r="F19" s="60"/>
      <c r="G19" s="33"/>
      <c r="H19" s="95"/>
      <c r="I19" s="96"/>
      <c r="J19" s="97"/>
    </row>
    <row r="20" spans="2:28" ht="15" customHeight="1" x14ac:dyDescent="0.25">
      <c r="B20" s="61" t="s">
        <v>2</v>
      </c>
      <c r="C20" s="60">
        <f>(HLOOKUP(C$11,'FY19-20 Benefit Rates'!$B$2:$F$16,2,FALSE))*C$18</f>
        <v>0</v>
      </c>
      <c r="D20" s="33"/>
      <c r="E20" s="65" t="s">
        <v>2</v>
      </c>
      <c r="F20" s="60">
        <f>(HLOOKUP(F$11,'FY19-20 Benefit Rates'!$B$2:$F$16,2,FALSE))*F$18</f>
        <v>0</v>
      </c>
      <c r="G20" s="33"/>
      <c r="H20" s="95"/>
      <c r="I20" s="93" t="s">
        <v>2</v>
      </c>
      <c r="J20" s="94">
        <f t="shared" ref="J20:J30" si="0">F20-C20</f>
        <v>0</v>
      </c>
    </row>
    <row r="21" spans="2:28" ht="15" customHeight="1" x14ac:dyDescent="0.25">
      <c r="B21" s="61" t="s">
        <v>3</v>
      </c>
      <c r="C21" s="60">
        <f>(HLOOKUP(C$11,'FY19-20 Benefit Rates'!$B$2:$F$16,3,FALSE))*C$18</f>
        <v>0</v>
      </c>
      <c r="D21" s="33"/>
      <c r="E21" s="65" t="s">
        <v>3</v>
      </c>
      <c r="F21" s="60">
        <f>(HLOOKUP(F$11,'FY19-20 Benefit Rates'!$B$2:$F$16,3,FALSE))*F$18</f>
        <v>0</v>
      </c>
      <c r="G21" s="33"/>
      <c r="H21" s="95"/>
      <c r="I21" s="93" t="s">
        <v>3</v>
      </c>
      <c r="J21" s="94">
        <f t="shared" si="0"/>
        <v>0</v>
      </c>
    </row>
    <row r="22" spans="2:28" ht="15" customHeight="1" x14ac:dyDescent="0.25">
      <c r="B22" s="61" t="s">
        <v>4</v>
      </c>
      <c r="C22" s="60">
        <f>(HLOOKUP(C$11,'FY19-20 Benefit Rates'!$B$2:$F$16,4,FALSE))*C$18</f>
        <v>0</v>
      </c>
      <c r="D22" s="33"/>
      <c r="E22" s="65" t="s">
        <v>4</v>
      </c>
      <c r="F22" s="60">
        <f>(HLOOKUP(F$11,'FY19-20 Benefit Rates'!$B$2:$F$16,4,FALSE))*F$18</f>
        <v>0</v>
      </c>
      <c r="G22" s="33"/>
      <c r="H22" s="95"/>
      <c r="I22" s="93" t="s">
        <v>4</v>
      </c>
      <c r="J22" s="94">
        <f t="shared" si="0"/>
        <v>0</v>
      </c>
    </row>
    <row r="23" spans="2:28" ht="15" customHeight="1" x14ac:dyDescent="0.25">
      <c r="B23" s="61" t="s">
        <v>8</v>
      </c>
      <c r="C23" s="60">
        <f>(VLOOKUP(C$12,'FY19-20 Benefit Rates'!$A$2:$F$16,5,FALSE))*C$18</f>
        <v>0</v>
      </c>
      <c r="D23" s="33"/>
      <c r="E23" s="65" t="s">
        <v>8</v>
      </c>
      <c r="F23" s="60">
        <f>(VLOOKUP(F$12,'FY19-20 Benefit Rates'!$A$2:$F$16,5,FALSE))*F$18</f>
        <v>0</v>
      </c>
      <c r="G23" s="33"/>
      <c r="H23" s="95"/>
      <c r="I23" s="93" t="s">
        <v>8</v>
      </c>
      <c r="J23" s="94">
        <f t="shared" si="0"/>
        <v>0</v>
      </c>
    </row>
    <row r="24" spans="2:28" ht="15" customHeight="1" x14ac:dyDescent="0.25">
      <c r="B24" s="61" t="s">
        <v>9</v>
      </c>
      <c r="C24" s="60">
        <f>(HLOOKUP(C$11,'FY19-20 Benefit Rates'!$B$2:$F$16,6,FALSE))*C$18</f>
        <v>0</v>
      </c>
      <c r="D24" s="33"/>
      <c r="E24" s="65" t="s">
        <v>9</v>
      </c>
      <c r="F24" s="60">
        <f>(HLOOKUP(F$11,'FY19-20 Benefit Rates'!$B$2:$F$16,6,FALSE))*F$18</f>
        <v>0</v>
      </c>
      <c r="G24" s="33"/>
      <c r="H24" s="95"/>
      <c r="I24" s="93" t="s">
        <v>9</v>
      </c>
      <c r="J24" s="94">
        <f t="shared" si="0"/>
        <v>0</v>
      </c>
    </row>
    <row r="25" spans="2:28" ht="15" customHeight="1" x14ac:dyDescent="0.25">
      <c r="B25" s="61" t="s">
        <v>10</v>
      </c>
      <c r="C25" s="60">
        <f>(HLOOKUP(C$11,'FY19-20 Benefit Rates'!$B$2:$F$16,7,FALSE))*C$18</f>
        <v>0</v>
      </c>
      <c r="D25" s="33"/>
      <c r="E25" s="65" t="s">
        <v>10</v>
      </c>
      <c r="F25" s="60">
        <f>(HLOOKUP(F$11,'FY19-20 Benefit Rates'!$B$2:$F$16,7,FALSE))*F$18</f>
        <v>0</v>
      </c>
      <c r="G25" s="33"/>
      <c r="H25" s="95"/>
      <c r="I25" s="93" t="s">
        <v>10</v>
      </c>
      <c r="J25" s="94">
        <f t="shared" si="0"/>
        <v>0</v>
      </c>
    </row>
    <row r="26" spans="2:28" x14ac:dyDescent="0.25">
      <c r="B26" s="61" t="s">
        <v>1</v>
      </c>
      <c r="C26" s="60">
        <f>(HLOOKUP(C$11,'FY19-20 Benefit Rates'!$B$2:$F$16,8,FALSE))*C14</f>
        <v>0</v>
      </c>
      <c r="D26" s="33"/>
      <c r="E26" s="65" t="s">
        <v>1</v>
      </c>
      <c r="F26" s="60">
        <f>(HLOOKUP(F$11,'FY19-20 Benefit Rates'!$B$2:$F$16,8,FALSE))*F14</f>
        <v>0</v>
      </c>
      <c r="G26" s="33"/>
      <c r="H26" s="95"/>
      <c r="I26" s="93" t="s">
        <v>1</v>
      </c>
      <c r="J26" s="94">
        <f t="shared" si="0"/>
        <v>0</v>
      </c>
    </row>
    <row r="27" spans="2:28" x14ac:dyDescent="0.25">
      <c r="B27" s="61" t="s">
        <v>12</v>
      </c>
      <c r="C27" s="60">
        <f>(HLOOKUP(C$11,'FY19-20 Benefit Rates'!$B$2:$F$16,10,FALSE))*C14</f>
        <v>461.5</v>
      </c>
      <c r="D27" s="33"/>
      <c r="E27" s="65" t="s">
        <v>12</v>
      </c>
      <c r="F27" s="60">
        <f>(HLOOKUP(F$11,'FY19-20 Benefit Rates'!$B$2:$F$16,10,FALSE))*F14</f>
        <v>461.5</v>
      </c>
      <c r="G27" s="33"/>
      <c r="H27" s="95"/>
      <c r="I27" s="93" t="s">
        <v>12</v>
      </c>
      <c r="J27" s="94">
        <f t="shared" si="0"/>
        <v>0</v>
      </c>
    </row>
    <row r="28" spans="2:28" x14ac:dyDescent="0.25">
      <c r="B28" s="61" t="s">
        <v>13</v>
      </c>
      <c r="C28" s="60">
        <f>(HLOOKUP(C$11,'FY19-20 Benefit Rates'!$B$2:$F$16,11,FALSE))*C14</f>
        <v>0</v>
      </c>
      <c r="D28" s="33"/>
      <c r="E28" s="65" t="s">
        <v>13</v>
      </c>
      <c r="F28" s="60">
        <f>(HLOOKUP(F$11,'FY19-20 Benefit Rates'!$B$2:$F$16,11,FALSE))*F14</f>
        <v>0</v>
      </c>
      <c r="G28" s="33"/>
      <c r="H28" s="95"/>
      <c r="I28" s="93" t="s">
        <v>13</v>
      </c>
      <c r="J28" s="94">
        <f t="shared" si="0"/>
        <v>0</v>
      </c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</row>
    <row r="29" spans="2:28" x14ac:dyDescent="0.25">
      <c r="B29" s="61" t="s">
        <v>14</v>
      </c>
      <c r="C29" s="60">
        <f>(HLOOKUP(C$11,'FY19-20 Benefit Rates'!$B$2:$F$16,12,FALSE))</f>
        <v>2.2799999999999998</v>
      </c>
      <c r="D29" s="33"/>
      <c r="E29" s="65" t="s">
        <v>14</v>
      </c>
      <c r="F29" s="60">
        <f>(HLOOKUP(F$11,'FY19-20 Benefit Rates'!$B$2:$F$16,12,FALSE))</f>
        <v>2.2799999999999998</v>
      </c>
      <c r="G29" s="33"/>
      <c r="H29" s="95"/>
      <c r="I29" s="93" t="s">
        <v>14</v>
      </c>
      <c r="J29" s="94">
        <f t="shared" si="0"/>
        <v>0</v>
      </c>
    </row>
    <row r="30" spans="2:28" x14ac:dyDescent="0.25">
      <c r="B30" s="61" t="s">
        <v>15</v>
      </c>
      <c r="C30" s="62">
        <f>(HLOOKUP(C$11,'FY19-20 Benefit Rates'!$B$2:$F$16,13,FALSE))</f>
        <v>0</v>
      </c>
      <c r="D30" s="33"/>
      <c r="E30" s="65" t="s">
        <v>15</v>
      </c>
      <c r="F30" s="62">
        <f>(HLOOKUP(F$11,'FY19-20 Benefit Rates'!$B$2:$F$16,13,FALSE))</f>
        <v>0</v>
      </c>
      <c r="G30" s="33"/>
      <c r="H30" s="95"/>
      <c r="I30" s="93" t="s">
        <v>15</v>
      </c>
      <c r="J30" s="98">
        <f t="shared" si="0"/>
        <v>0</v>
      </c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2:28" s="28" customFormat="1" x14ac:dyDescent="0.25">
      <c r="B31" s="66" t="s">
        <v>38</v>
      </c>
      <c r="C31" s="67">
        <f>SUM(C20:C30)</f>
        <v>463.78</v>
      </c>
      <c r="D31" s="68"/>
      <c r="E31" s="69" t="s">
        <v>38</v>
      </c>
      <c r="F31" s="67">
        <f>SUM(F20:F30)</f>
        <v>463.78</v>
      </c>
      <c r="G31" s="68"/>
      <c r="H31" s="99"/>
      <c r="I31" s="93" t="s">
        <v>51</v>
      </c>
      <c r="J31" s="100">
        <f>SUM(J20:J30)</f>
        <v>0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</row>
    <row r="32" spans="2:28" ht="6" customHeight="1" x14ac:dyDescent="0.25">
      <c r="B32" s="71"/>
      <c r="C32" s="72"/>
      <c r="D32" s="68"/>
      <c r="E32" s="70"/>
      <c r="F32" s="72"/>
      <c r="G32" s="68"/>
      <c r="H32" s="99"/>
      <c r="I32" s="101"/>
      <c r="J32" s="94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2:28" s="28" customFormat="1" ht="25.5" customHeight="1" thickBot="1" x14ac:dyDescent="0.3">
      <c r="B33" s="73" t="s">
        <v>7</v>
      </c>
      <c r="C33" s="74">
        <f>C18+C31</f>
        <v>463.78</v>
      </c>
      <c r="D33" s="68"/>
      <c r="E33" s="75" t="s">
        <v>7</v>
      </c>
      <c r="F33" s="74">
        <f>F18+F31</f>
        <v>463.78</v>
      </c>
      <c r="G33" s="68"/>
      <c r="H33" s="102"/>
      <c r="I33" s="103" t="s">
        <v>52</v>
      </c>
      <c r="J33" s="104">
        <f>J18+J31</f>
        <v>0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4" spans="2:28" ht="8.25" customHeight="1" x14ac:dyDescent="0.25">
      <c r="B34" s="42"/>
      <c r="C34" s="43"/>
      <c r="D34" s="31"/>
      <c r="E34" s="50"/>
      <c r="F34" s="43"/>
      <c r="G34" s="31"/>
      <c r="H34" s="112"/>
      <c r="I34" s="110"/>
      <c r="J34" s="111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</row>
    <row r="35" spans="2:28" s="37" customFormat="1" ht="26.25" customHeight="1" thickBot="1" x14ac:dyDescent="0.3">
      <c r="B35" s="44" t="s">
        <v>43</v>
      </c>
      <c r="C35" s="45">
        <f>(C33*24)+(SUM(C33-C26)*2)</f>
        <v>12058.279999999999</v>
      </c>
      <c r="D35" s="38"/>
      <c r="E35" s="44" t="s">
        <v>43</v>
      </c>
      <c r="F35" s="45">
        <f>(F33*24)+(SUM(F33-F26)*2)</f>
        <v>12058.279999999999</v>
      </c>
      <c r="G35" s="38"/>
      <c r="H35" s="105"/>
      <c r="I35" s="123" t="s">
        <v>57</v>
      </c>
      <c r="J35" s="124">
        <f>+F35-C35</f>
        <v>0</v>
      </c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</row>
    <row r="36" spans="2:28" ht="8.25" customHeight="1" thickTop="1" x14ac:dyDescent="0.25">
      <c r="B36" s="46"/>
      <c r="C36" s="47"/>
      <c r="E36" s="46"/>
      <c r="F36" s="47"/>
      <c r="H36" s="78"/>
      <c r="I36" s="125"/>
      <c r="J36" s="126"/>
    </row>
    <row r="37" spans="2:28" s="40" customFormat="1" ht="20.25" customHeight="1" x14ac:dyDescent="0.25">
      <c r="B37" s="48" t="s">
        <v>58</v>
      </c>
      <c r="C37" s="76">
        <f>C35/C15</f>
        <v>5.7972499999999991</v>
      </c>
      <c r="E37" s="48" t="s">
        <v>58</v>
      </c>
      <c r="F37" s="76">
        <f>F35/F15</f>
        <v>5.7972499999999991</v>
      </c>
      <c r="H37" s="106"/>
      <c r="I37" s="127" t="s">
        <v>59</v>
      </c>
      <c r="J37" s="128">
        <f t="shared" ref="J37:J41" si="1">+F37-C37</f>
        <v>0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</row>
    <row r="38" spans="2:28" s="41" customFormat="1" ht="18.75" x14ac:dyDescent="0.25">
      <c r="B38" s="48" t="s">
        <v>45</v>
      </c>
      <c r="C38" s="76">
        <f>C35/(((2080*C14))-264*C14)</f>
        <v>6.6400220264317174</v>
      </c>
      <c r="E38" s="48" t="s">
        <v>45</v>
      </c>
      <c r="F38" s="76">
        <f>F35/(((2080*F14))-264*F14)</f>
        <v>6.6400220264317174</v>
      </c>
      <c r="H38" s="107"/>
      <c r="I38" s="127" t="s">
        <v>48</v>
      </c>
      <c r="J38" s="128">
        <f t="shared" si="1"/>
        <v>0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spans="2:28" ht="18.75" x14ac:dyDescent="0.25">
      <c r="B39" s="48" t="s">
        <v>47</v>
      </c>
      <c r="C39" s="76">
        <f>(C35+C35*0.24)/(((2080*C14))-264*C14)</f>
        <v>8.2336273127753294</v>
      </c>
      <c r="D39" s="32"/>
      <c r="E39" s="48" t="s">
        <v>47</v>
      </c>
      <c r="F39" s="76">
        <f>(F35+F35*0.24)/(((2080*F14))-264*F14)</f>
        <v>8.2336273127753294</v>
      </c>
      <c r="G39" s="32"/>
      <c r="H39" s="108"/>
      <c r="I39" s="127" t="s">
        <v>49</v>
      </c>
      <c r="J39" s="128">
        <f t="shared" si="1"/>
        <v>0</v>
      </c>
    </row>
    <row r="40" spans="2:28" ht="18.75" x14ac:dyDescent="0.25">
      <c r="B40" s="48" t="s">
        <v>67</v>
      </c>
      <c r="C40" s="76">
        <f>((C35+'FY19-20 Benefit Rates'!B28)+((C35+'FY19-20 Benefit Rates'!B28)*0.24))/(((2080*C14))-264*C14)</f>
        <v>11.555925991189424</v>
      </c>
      <c r="D40" s="32"/>
      <c r="E40" s="48" t="s">
        <v>67</v>
      </c>
      <c r="F40" s="76">
        <f>((F35+'FY19-20 Benefit Rates'!B28)+((F35+'FY19-20 Benefit Rates'!B28)*0.24))/(((2080*F14))-264*F14)</f>
        <v>11.555925991189424</v>
      </c>
      <c r="G40" s="32"/>
      <c r="H40" s="108"/>
      <c r="I40" s="127" t="s">
        <v>68</v>
      </c>
      <c r="J40" s="128">
        <f t="shared" si="1"/>
        <v>0</v>
      </c>
    </row>
    <row r="41" spans="2:28" ht="19.5" thickBot="1" x14ac:dyDescent="0.3">
      <c r="B41" s="49" t="s">
        <v>46</v>
      </c>
      <c r="C41" s="77">
        <f>ROUNDUP(C40,-0.5)</f>
        <v>12</v>
      </c>
      <c r="E41" s="49" t="s">
        <v>46</v>
      </c>
      <c r="F41" s="77">
        <f>ROUNDUP(F40,-0.5)</f>
        <v>12</v>
      </c>
      <c r="H41" s="109"/>
      <c r="I41" s="130" t="s">
        <v>50</v>
      </c>
      <c r="J41" s="129">
        <f t="shared" si="1"/>
        <v>0</v>
      </c>
    </row>
  </sheetData>
  <sheetProtection algorithmName="SHA-512" hashValue="TifZ6GMq9NqIg3jm1UMum0ToxlAzHSmvKoWtgtjKjm1wPmi84zk5BVaW9NbbOm8SRfp9eOGYHbln0qXKhYFLWw==" saltValue="V5T+z1kG7tl5QhZ/GxCj5g==" spinCount="100000" sheet="1" objects="1" scenarios="1" selectLockedCells="1"/>
  <mergeCells count="22">
    <mergeCell ref="M7:M13"/>
    <mergeCell ref="X7:X13"/>
    <mergeCell ref="Y7:Y13"/>
    <mergeCell ref="Z7:Z13"/>
    <mergeCell ref="AA7:AA13"/>
    <mergeCell ref="N7:N13"/>
    <mergeCell ref="O7:O13"/>
    <mergeCell ref="P7:P13"/>
    <mergeCell ref="Q7:Q13"/>
    <mergeCell ref="R7:R13"/>
    <mergeCell ref="AB7:AB13"/>
    <mergeCell ref="S7:S13"/>
    <mergeCell ref="T7:T13"/>
    <mergeCell ref="U7:U13"/>
    <mergeCell ref="V7:V13"/>
    <mergeCell ref="W7:W13"/>
    <mergeCell ref="D5:J5"/>
    <mergeCell ref="D7:J7"/>
    <mergeCell ref="B5:C7"/>
    <mergeCell ref="B9:C9"/>
    <mergeCell ref="E9:F9"/>
    <mergeCell ref="H9:J9"/>
  </mergeCells>
  <dataValidations count="2">
    <dataValidation type="list" allowBlank="1" showInputMessage="1" showErrorMessage="1" sqref="C11 F11">
      <formula1>"PKGen,PKSeas,PKSupv,PKMgr,UNRep"</formula1>
    </dataValidation>
    <dataValidation type="list" allowBlank="1" showInputMessage="1" showErrorMessage="1" sqref="F12 C12">
      <formula1>"Tier1(hired before Aug2012),Tier2(hired Aug-Dec2012),Tier3(hired since Jan2013)"</formula1>
    </dataValidation>
  </dataValidations>
  <pageMargins left="0.15" right="0.15" top="0.15" bottom="0.15" header="0.3" footer="0.3"/>
  <pageSetup scale="76" fitToWidth="2" orientation="landscape" r:id="rId1"/>
  <colBreaks count="2" manualBreakCount="2">
    <brk id="10" max="1048575" man="1"/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29"/>
  <sheetViews>
    <sheetView showGridLines="0" workbookViewId="0">
      <pane ySplit="2" topLeftCell="A3" activePane="bottomLeft" state="frozen"/>
      <selection pane="bottomLeft" activeCell="B23" sqref="B23"/>
    </sheetView>
  </sheetViews>
  <sheetFormatPr defaultRowHeight="15" x14ac:dyDescent="0.25"/>
  <cols>
    <col min="1" max="1" width="26.42578125" bestFit="1" customWidth="1"/>
    <col min="2" max="6" width="14.42578125" style="1" customWidth="1"/>
  </cols>
  <sheetData>
    <row r="1" spans="1:6" s="10" customFormat="1" x14ac:dyDescent="0.25">
      <c r="B1" s="11" t="s">
        <v>19</v>
      </c>
      <c r="C1" s="11" t="s">
        <v>20</v>
      </c>
      <c r="D1" s="11" t="s">
        <v>29</v>
      </c>
      <c r="E1" s="11" t="s">
        <v>21</v>
      </c>
      <c r="F1" s="11" t="s">
        <v>22</v>
      </c>
    </row>
    <row r="2" spans="1:6" ht="15.75" thickBot="1" x14ac:dyDescent="0.3">
      <c r="A2" s="9" t="s">
        <v>18</v>
      </c>
      <c r="B2" s="4" t="s">
        <v>32</v>
      </c>
      <c r="C2" s="4" t="s">
        <v>30</v>
      </c>
      <c r="D2" s="4" t="s">
        <v>31</v>
      </c>
      <c r="E2" s="4" t="s">
        <v>33</v>
      </c>
      <c r="F2" s="4" t="s">
        <v>34</v>
      </c>
    </row>
    <row r="3" spans="1:6" x14ac:dyDescent="0.25">
      <c r="A3" s="2" t="s">
        <v>2</v>
      </c>
      <c r="B3" s="5">
        <v>2.0200000000000001E-3</v>
      </c>
      <c r="C3" s="5">
        <v>2.0200000000000001E-3</v>
      </c>
      <c r="D3" s="5">
        <v>2.0200000000000001E-3</v>
      </c>
      <c r="E3" s="5">
        <v>2.0200000000000001E-3</v>
      </c>
      <c r="F3" s="5">
        <v>2.0200000000000001E-3</v>
      </c>
    </row>
    <row r="4" spans="1:6" x14ac:dyDescent="0.25">
      <c r="A4" s="2" t="s">
        <v>3</v>
      </c>
      <c r="B4" s="5">
        <v>6.2E-2</v>
      </c>
      <c r="C4" s="5">
        <v>6.2E-2</v>
      </c>
      <c r="D4" s="5">
        <v>6.2E-2</v>
      </c>
      <c r="E4" s="5">
        <v>6.2E-2</v>
      </c>
      <c r="F4" s="5">
        <v>6.2E-2</v>
      </c>
    </row>
    <row r="5" spans="1:6" x14ac:dyDescent="0.25">
      <c r="A5" s="2" t="s">
        <v>4</v>
      </c>
      <c r="B5" s="5">
        <v>1.4500000000000001E-2</v>
      </c>
      <c r="C5" s="5">
        <v>1.4500000000000001E-2</v>
      </c>
      <c r="D5" s="5">
        <v>1.4500000000000001E-2</v>
      </c>
      <c r="E5" s="5">
        <v>1.4500000000000001E-2</v>
      </c>
      <c r="F5" s="5">
        <v>1.4500000000000001E-2</v>
      </c>
    </row>
    <row r="6" spans="1:6" x14ac:dyDescent="0.25">
      <c r="A6" s="2" t="s">
        <v>36</v>
      </c>
      <c r="B6" s="5">
        <v>0.15206</v>
      </c>
      <c r="C6" s="5">
        <v>0.15206</v>
      </c>
      <c r="D6" s="5">
        <v>0.15206</v>
      </c>
      <c r="E6" s="5">
        <v>0.15206</v>
      </c>
      <c r="F6" s="5">
        <v>0.15206</v>
      </c>
    </row>
    <row r="7" spans="1:6" x14ac:dyDescent="0.25">
      <c r="A7" s="2" t="s">
        <v>39</v>
      </c>
      <c r="B7" s="5">
        <v>8.6679999999999993E-2</v>
      </c>
      <c r="C7" s="5">
        <v>8.6679999999999993E-2</v>
      </c>
      <c r="D7" s="5">
        <v>8.6679999999999993E-2</v>
      </c>
      <c r="E7" s="5">
        <v>8.6679999999999993E-2</v>
      </c>
      <c r="F7" s="5">
        <v>8.6679999999999993E-2</v>
      </c>
    </row>
    <row r="8" spans="1:6" x14ac:dyDescent="0.25">
      <c r="A8" s="2" t="s">
        <v>40</v>
      </c>
      <c r="B8" s="5">
        <v>7.0720000000000005E-2</v>
      </c>
      <c r="C8" s="5">
        <v>7.0720000000000005E-2</v>
      </c>
      <c r="D8" s="5">
        <v>7.0720000000000005E-2</v>
      </c>
      <c r="E8" s="5">
        <v>7.0720000000000005E-2</v>
      </c>
      <c r="F8" s="5">
        <v>7.0720000000000005E-2</v>
      </c>
    </row>
    <row r="9" spans="1:6" x14ac:dyDescent="0.25">
      <c r="A9" s="2" t="s">
        <v>9</v>
      </c>
      <c r="B9" s="5"/>
      <c r="C9" s="5"/>
      <c r="D9" s="5">
        <v>6.0400000000000002E-3</v>
      </c>
      <c r="E9" s="5">
        <v>6.0400000000000002E-3</v>
      </c>
      <c r="F9" s="5">
        <v>6.0400000000000002E-3</v>
      </c>
    </row>
    <row r="10" spans="1:6" x14ac:dyDescent="0.25">
      <c r="A10" s="2" t="s">
        <v>10</v>
      </c>
      <c r="B10" s="5">
        <v>1.2E-2</v>
      </c>
      <c r="C10" s="5"/>
      <c r="D10" s="5"/>
      <c r="E10" s="5"/>
      <c r="F10" s="5"/>
    </row>
    <row r="11" spans="1:6" x14ac:dyDescent="0.25">
      <c r="A11" s="2" t="s">
        <v>1</v>
      </c>
      <c r="B11" s="6">
        <v>461.5</v>
      </c>
      <c r="C11" s="6">
        <v>0</v>
      </c>
      <c r="D11" s="6">
        <v>461.5</v>
      </c>
      <c r="E11" s="6">
        <v>411.5</v>
      </c>
      <c r="F11" s="6">
        <v>411.5</v>
      </c>
    </row>
    <row r="12" spans="1:6" x14ac:dyDescent="0.25">
      <c r="A12" s="2" t="s">
        <v>11</v>
      </c>
      <c r="B12" s="5"/>
      <c r="C12" s="5"/>
      <c r="D12" s="5"/>
      <c r="E12" s="5"/>
      <c r="F12" s="5"/>
    </row>
    <row r="13" spans="1:6" x14ac:dyDescent="0.25">
      <c r="A13" s="2" t="s">
        <v>12</v>
      </c>
      <c r="B13" s="6">
        <v>2.2799999999999998</v>
      </c>
      <c r="C13" s="6"/>
      <c r="D13" s="6">
        <v>2.2799999999999998</v>
      </c>
      <c r="E13" s="6">
        <v>3.82</v>
      </c>
      <c r="F13" s="6">
        <v>3.82</v>
      </c>
    </row>
    <row r="14" spans="1:6" x14ac:dyDescent="0.25">
      <c r="A14" s="2" t="s">
        <v>13</v>
      </c>
      <c r="B14" s="6"/>
      <c r="C14" s="6"/>
      <c r="D14" s="6"/>
      <c r="E14" s="6">
        <v>8.24</v>
      </c>
      <c r="F14" s="6">
        <v>8.24</v>
      </c>
    </row>
    <row r="15" spans="1:6" x14ac:dyDescent="0.25">
      <c r="A15" s="2" t="s">
        <v>14</v>
      </c>
      <c r="B15" s="6">
        <v>0.11</v>
      </c>
      <c r="C15" s="6">
        <v>0.11</v>
      </c>
      <c r="D15" s="6">
        <v>0.11</v>
      </c>
      <c r="E15" s="5"/>
      <c r="F15" s="5"/>
    </row>
    <row r="16" spans="1:6" x14ac:dyDescent="0.25">
      <c r="A16" s="3" t="s">
        <v>15</v>
      </c>
      <c r="B16" s="7"/>
      <c r="C16" s="7"/>
      <c r="D16" s="7"/>
      <c r="E16" s="8">
        <v>50</v>
      </c>
      <c r="F16" s="8">
        <v>50</v>
      </c>
    </row>
    <row r="19" spans="1:2" x14ac:dyDescent="0.25">
      <c r="B19"/>
    </row>
    <row r="20" spans="1:2" x14ac:dyDescent="0.25">
      <c r="A20" s="121" t="s">
        <v>69</v>
      </c>
      <c r="B20" s="13"/>
    </row>
    <row r="21" spans="1:2" x14ac:dyDescent="0.25">
      <c r="A21" s="13" t="s">
        <v>60</v>
      </c>
      <c r="B21" s="33">
        <f>70*12</f>
        <v>840</v>
      </c>
    </row>
    <row r="22" spans="1:2" x14ac:dyDescent="0.25">
      <c r="A22" s="13" t="s">
        <v>63</v>
      </c>
      <c r="B22" s="33">
        <f>185*12</f>
        <v>2220</v>
      </c>
    </row>
    <row r="23" spans="1:2" x14ac:dyDescent="0.25">
      <c r="A23" s="13" t="s">
        <v>66</v>
      </c>
      <c r="B23" s="33">
        <v>45</v>
      </c>
    </row>
    <row r="24" spans="1:2" x14ac:dyDescent="0.25">
      <c r="A24" s="13" t="s">
        <v>61</v>
      </c>
      <c r="B24" s="33">
        <v>350</v>
      </c>
    </row>
    <row r="25" spans="1:2" x14ac:dyDescent="0.25">
      <c r="A25" s="13" t="s">
        <v>65</v>
      </c>
      <c r="B25" s="33">
        <v>200</v>
      </c>
    </row>
    <row r="26" spans="1:2" x14ac:dyDescent="0.25">
      <c r="A26" s="13" t="s">
        <v>62</v>
      </c>
      <c r="B26" s="33">
        <f>4.39*26</f>
        <v>114.13999999999999</v>
      </c>
    </row>
    <row r="27" spans="1:2" x14ac:dyDescent="0.25">
      <c r="A27" s="22" t="s">
        <v>64</v>
      </c>
      <c r="B27" s="33">
        <f>42.17*26</f>
        <v>1096.42</v>
      </c>
    </row>
    <row r="28" spans="1:2" ht="15.75" thickBot="1" x14ac:dyDescent="0.3">
      <c r="A28" s="13"/>
      <c r="B28" s="122">
        <f>SUM(B21:B27)</f>
        <v>4865.5599999999995</v>
      </c>
    </row>
    <row r="29" spans="1:2" ht="15.75" thickTop="1" x14ac:dyDescent="0.25"/>
  </sheetData>
  <sheetProtection algorithmName="SHA-512" hashValue="pduRDDpD2g1HPNudF6yR6P34qa+2n2t2Hk49CSP8vndiSWzxGwqbBDYsEy0TAuEBtOF3dmILBiTt1QtLwj8IoA==" saltValue="/cO4CIBghjKEhJN299nTCQ==" spinCount="100000" sheet="1" objects="1" scenarios="1"/>
  <pageMargins left="0.5" right="0.5" top="0.5" bottom="0.5" header="0.3" footer="0.3"/>
  <pageSetup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Cost Comparison</vt:lpstr>
      <vt:lpstr>FY19-20 Benefit Rates</vt:lpstr>
      <vt:lpstr>'Cost Comparison'!Print_Titles</vt:lpstr>
    </vt:vector>
  </TitlesOfParts>
  <Company>Riverside County Parks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Gomez</dc:creator>
  <cp:lastModifiedBy>Megan Gomez</cp:lastModifiedBy>
  <cp:lastPrinted>2018-12-04T23:21:58Z</cp:lastPrinted>
  <dcterms:created xsi:type="dcterms:W3CDTF">2012-09-05T21:34:42Z</dcterms:created>
  <dcterms:modified xsi:type="dcterms:W3CDTF">2019-02-07T03:49:25Z</dcterms:modified>
</cp:coreProperties>
</file>